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ontariogov-my.sharepoint.com/personal/cesar_cappa_ontario_ca/Documents/Documents/Articles/2025-10 Optical sprayer ROI calculator/"/>
    </mc:Choice>
  </mc:AlternateContent>
  <xr:revisionPtr revIDLastSave="5827" documentId="8_{664C6119-8BB5-4E20-B2DC-7A1543E0512D}" xr6:coauthVersionLast="47" xr6:coauthVersionMax="47" xr10:uidLastSave="{7A54FCFE-A66E-49C2-B3B1-6E4E961C7651}"/>
  <bookViews>
    <workbookView xWindow="28680" yWindow="-120" windowWidth="29040" windowHeight="15720" activeTab="1" xr2:uid="{585D4AC4-E203-44BB-9417-9BDB6C8FE797}"/>
  </bookViews>
  <sheets>
    <sheet name="1. Introduction" sheetId="14" r:id="rId1"/>
    <sheet name="2. Sections explained" sheetId="11" r:id="rId2"/>
    <sheet name="3. Calculation sheet" sheetId="7" r:id="rId3"/>
    <sheet name="Sheet4" sheetId="8" state="hidden" r:id="rId4"/>
    <sheet name="Costing calcs" sheetId="6" state="hidden" r:id="rId5"/>
    <sheet name="NPV" sheetId="12"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9" i="11" l="1"/>
  <c r="E68" i="11"/>
  <c r="E67" i="11"/>
  <c r="E66" i="11"/>
  <c r="E65" i="11"/>
  <c r="E64" i="11"/>
  <c r="E63" i="11"/>
  <c r="E62" i="11"/>
  <c r="E61" i="11"/>
  <c r="E60" i="11"/>
  <c r="E58" i="7"/>
  <c r="E70" i="7" s="1"/>
  <c r="E57" i="7"/>
  <c r="E69" i="7" s="1"/>
  <c r="E56" i="7"/>
  <c r="E68" i="7" s="1"/>
  <c r="E55" i="7"/>
  <c r="E67" i="7" s="1"/>
  <c r="F72" i="7"/>
  <c r="F71" i="7"/>
  <c r="F64" i="7"/>
  <c r="F76" i="7" s="1"/>
  <c r="F63" i="7"/>
  <c r="F75" i="7" s="1"/>
  <c r="F62" i="7"/>
  <c r="F74" i="7" s="1"/>
  <c r="F61" i="7"/>
  <c r="F73" i="7" s="1"/>
  <c r="F58" i="7"/>
  <c r="F70" i="7" s="1"/>
  <c r="F57" i="7"/>
  <c r="F69" i="7" s="1"/>
  <c r="F56" i="7"/>
  <c r="F68" i="7" s="1"/>
  <c r="F55" i="7"/>
  <c r="F67" i="7" s="1"/>
  <c r="E64" i="7"/>
  <c r="E76" i="7" s="1"/>
  <c r="E63" i="7"/>
  <c r="E75" i="7" s="1"/>
  <c r="E62" i="7"/>
  <c r="E74" i="7" s="1"/>
  <c r="E61" i="7"/>
  <c r="E73" i="7" s="1"/>
  <c r="E60" i="7"/>
  <c r="E72" i="7" s="1"/>
  <c r="E59" i="7"/>
  <c r="E71" i="7" s="1"/>
  <c r="F69" i="11"/>
  <c r="F81" i="11" s="1"/>
  <c r="F68" i="11"/>
  <c r="F80" i="11" s="1"/>
  <c r="G80" i="11" s="1"/>
  <c r="F67" i="11"/>
  <c r="F79" i="11" s="1"/>
  <c r="F66" i="11"/>
  <c r="F78" i="11" s="1"/>
  <c r="G78" i="11" s="1"/>
  <c r="F77" i="11"/>
  <c r="G77" i="11" s="1"/>
  <c r="F76" i="11"/>
  <c r="F75" i="11"/>
  <c r="G75" i="11" s="1"/>
  <c r="F74" i="11"/>
  <c r="F73" i="11"/>
  <c r="F72" i="11"/>
  <c r="G72" i="11" s="1"/>
  <c r="E90" i="11"/>
  <c r="D90" i="11"/>
  <c r="D98" i="11" s="1"/>
  <c r="D89" i="11"/>
  <c r="D11" i="11"/>
  <c r="D12" i="11"/>
  <c r="C14" i="11"/>
  <c r="C15" i="11"/>
  <c r="C16" i="11"/>
  <c r="C17" i="11"/>
  <c r="D28" i="11"/>
  <c r="H49" i="11"/>
  <c r="I49" i="11"/>
  <c r="F60" i="11"/>
  <c r="F61" i="11"/>
  <c r="F62" i="11"/>
  <c r="F63" i="11"/>
  <c r="E72" i="11"/>
  <c r="E73" i="11"/>
  <c r="E74" i="11"/>
  <c r="G74" i="11"/>
  <c r="E75" i="11"/>
  <c r="E76" i="11"/>
  <c r="G76" i="11"/>
  <c r="E77" i="11"/>
  <c r="E78" i="11"/>
  <c r="E79" i="11"/>
  <c r="E80" i="11"/>
  <c r="E81" i="11"/>
  <c r="D84" i="11"/>
  <c r="E89" i="11"/>
  <c r="F89" i="11"/>
  <c r="D93" i="11"/>
  <c r="E93" i="11"/>
  <c r="F93" i="11"/>
  <c r="D94" i="11"/>
  <c r="E94" i="11"/>
  <c r="D95" i="11"/>
  <c r="E95" i="11"/>
  <c r="D99" i="11"/>
  <c r="D100" i="11"/>
  <c r="D103" i="11"/>
  <c r="D104" i="11"/>
  <c r="G59" i="7"/>
  <c r="D6" i="7"/>
  <c r="D7" i="7"/>
  <c r="D95" i="7" s="1"/>
  <c r="C9" i="7"/>
  <c r="C10" i="7"/>
  <c r="C11" i="7"/>
  <c r="C12" i="7"/>
  <c r="D99" i="7"/>
  <c r="D100" i="7" s="1"/>
  <c r="D89" i="7"/>
  <c r="G63" i="7"/>
  <c r="X31" i="7"/>
  <c r="Y31" i="7" s="1"/>
  <c r="Z31" i="7" s="1"/>
  <c r="AA31" i="7" s="1"/>
  <c r="AB31" i="7" s="1"/>
  <c r="AC31" i="7" s="1"/>
  <c r="AD31" i="7" s="1"/>
  <c r="AE31" i="7" s="1"/>
  <c r="AF31" i="7" s="1"/>
  <c r="V33" i="7"/>
  <c r="V34" i="7" s="1"/>
  <c r="V35" i="7" s="1"/>
  <c r="V36" i="7" s="1"/>
  <c r="V37" i="7" s="1"/>
  <c r="V38" i="7" s="1"/>
  <c r="V39" i="7" s="1"/>
  <c r="V40" i="7" s="1"/>
  <c r="W27" i="11"/>
  <c r="X27" i="11" s="1"/>
  <c r="Y27" i="11" s="1"/>
  <c r="Z27" i="11" s="1"/>
  <c r="AA27" i="11" s="1"/>
  <c r="AB27" i="11" s="1"/>
  <c r="AC27" i="11" s="1"/>
  <c r="AD27" i="11" s="1"/>
  <c r="AE27" i="11" s="1"/>
  <c r="U55" i="11"/>
  <c r="U56" i="11" s="1"/>
  <c r="U57" i="11" s="1"/>
  <c r="U58" i="11" s="1"/>
  <c r="U59" i="11" s="1"/>
  <c r="U60" i="11" s="1"/>
  <c r="U61" i="11" s="1"/>
  <c r="U62" i="11" s="1"/>
  <c r="U42" i="11"/>
  <c r="U43" i="11" s="1"/>
  <c r="U44" i="11" s="1"/>
  <c r="U45" i="11" s="1"/>
  <c r="U46" i="11" s="1"/>
  <c r="U47" i="11" s="1"/>
  <c r="U48" i="11" s="1"/>
  <c r="U49" i="11" s="1"/>
  <c r="U29" i="11"/>
  <c r="U30" i="11" s="1"/>
  <c r="U31" i="11" s="1"/>
  <c r="U32" i="11" s="1"/>
  <c r="U33" i="11" s="1"/>
  <c r="U34" i="11" s="1"/>
  <c r="U35" i="11" s="1"/>
  <c r="U36" i="11" s="1"/>
  <c r="W53" i="11"/>
  <c r="X53" i="11" s="1"/>
  <c r="Y53" i="11" s="1"/>
  <c r="Z53" i="11" s="1"/>
  <c r="AA53" i="11" s="1"/>
  <c r="AB53" i="11" s="1"/>
  <c r="AC53" i="11" s="1"/>
  <c r="AD53" i="11" s="1"/>
  <c r="AE53" i="11" s="1"/>
  <c r="W40" i="11"/>
  <c r="X40" i="11" s="1"/>
  <c r="Y40" i="11" s="1"/>
  <c r="Z40" i="11" s="1"/>
  <c r="AA40" i="11" s="1"/>
  <c r="AB40" i="11" s="1"/>
  <c r="AC40" i="11" s="1"/>
  <c r="AD40" i="11" s="1"/>
  <c r="AE40" i="11" s="1"/>
  <c r="U53" i="11"/>
  <c r="U40" i="11"/>
  <c r="U27" i="11"/>
  <c r="U15" i="11"/>
  <c r="U16" i="11" s="1"/>
  <c r="U17" i="11" s="1"/>
  <c r="U18" i="11" s="1"/>
  <c r="U19" i="11" s="1"/>
  <c r="U21" i="11" s="1"/>
  <c r="U22" i="11" s="1"/>
  <c r="U23" i="11" s="1"/>
  <c r="W13" i="11"/>
  <c r="X13" i="11" s="1"/>
  <c r="Y13" i="11" s="1"/>
  <c r="Z13" i="11" s="1"/>
  <c r="AA13" i="11" s="1"/>
  <c r="AB13" i="11" s="1"/>
  <c r="AC13" i="11" s="1"/>
  <c r="AD13" i="11" s="1"/>
  <c r="AE13" i="11" s="1"/>
  <c r="U13" i="11"/>
  <c r="V20" i="7"/>
  <c r="V21" i="7" s="1"/>
  <c r="V22" i="7" s="1"/>
  <c r="V23" i="7" s="1"/>
  <c r="V24" i="7" s="1"/>
  <c r="V25" i="7" s="1"/>
  <c r="V26" i="7" s="1"/>
  <c r="V27" i="7" s="1"/>
  <c r="X18" i="7"/>
  <c r="Y18" i="7" s="1"/>
  <c r="Z18" i="7" s="1"/>
  <c r="AA18" i="7" s="1"/>
  <c r="AB18" i="7" s="1"/>
  <c r="AC18" i="7" s="1"/>
  <c r="AD18" i="7" s="1"/>
  <c r="AE18" i="7" s="1"/>
  <c r="AF18" i="7" s="1"/>
  <c r="V46" i="7"/>
  <c r="V47" i="7" s="1"/>
  <c r="V48" i="7" s="1"/>
  <c r="V49" i="7" s="1"/>
  <c r="V50" i="7" s="1"/>
  <c r="V51" i="7" s="1"/>
  <c r="V52" i="7" s="1"/>
  <c r="V53" i="7" s="1"/>
  <c r="X44" i="7"/>
  <c r="Y44" i="7" s="1"/>
  <c r="Z44" i="7" s="1"/>
  <c r="AA44" i="7" s="1"/>
  <c r="AB44" i="7" s="1"/>
  <c r="AC44" i="7" s="1"/>
  <c r="AD44" i="7" s="1"/>
  <c r="AE44" i="7" s="1"/>
  <c r="AF44" i="7" s="1"/>
  <c r="C8" i="12"/>
  <c r="H71" i="7"/>
  <c r="H75" i="7"/>
  <c r="H73" i="7"/>
  <c r="H69" i="7"/>
  <c r="H67" i="7"/>
  <c r="G57" i="7"/>
  <c r="G61" i="7"/>
  <c r="G55" i="7"/>
  <c r="C6" i="8"/>
  <c r="C7" i="8" s="1"/>
  <c r="C8" i="8" s="1"/>
  <c r="C9" i="8" s="1"/>
  <c r="C10" i="8" s="1"/>
  <c r="C11" i="8" s="1"/>
  <c r="C12" i="8" s="1"/>
  <c r="C13" i="8" s="1"/>
  <c r="E4" i="8"/>
  <c r="F4" i="8" s="1"/>
  <c r="G4" i="8" s="1"/>
  <c r="H4" i="8" s="1"/>
  <c r="I4" i="8" s="1"/>
  <c r="J4" i="8" s="1"/>
  <c r="K4" i="8" s="1"/>
  <c r="L4" i="8" s="1"/>
  <c r="M4" i="8" s="1"/>
  <c r="V7" i="7"/>
  <c r="V8" i="7" s="1"/>
  <c r="V9" i="7" s="1"/>
  <c r="V10" i="7" s="1"/>
  <c r="V11" i="7" s="1"/>
  <c r="V12" i="7" s="1"/>
  <c r="V13" i="7" s="1"/>
  <c r="V14" i="7" s="1"/>
  <c r="X5" i="7"/>
  <c r="Y5" i="7" s="1"/>
  <c r="Z5" i="7" s="1"/>
  <c r="AA5" i="7" s="1"/>
  <c r="AB5" i="7" s="1"/>
  <c r="AC5" i="7" s="1"/>
  <c r="AD5" i="7" s="1"/>
  <c r="AE5" i="7" s="1"/>
  <c r="AF5" i="7" s="1"/>
  <c r="C33" i="8"/>
  <c r="D32" i="8"/>
  <c r="C19" i="8"/>
  <c r="C47" i="8" s="1"/>
  <c r="D18" i="8"/>
  <c r="D46" i="8" s="1"/>
  <c r="D94" i="7"/>
  <c r="E89" i="7"/>
  <c r="E88" i="7"/>
  <c r="D88" i="7"/>
  <c r="E84" i="7"/>
  <c r="E85" i="7" s="1"/>
  <c r="D84" i="7"/>
  <c r="D85" i="7" s="1"/>
  <c r="G81" i="11" l="1"/>
  <c r="E84" i="11"/>
  <c r="D85" i="11"/>
  <c r="D86" i="11" s="1"/>
  <c r="E85" i="11"/>
  <c r="G73" i="11"/>
  <c r="F84" i="11"/>
  <c r="G79" i="11"/>
  <c r="E79" i="7"/>
  <c r="G70" i="7"/>
  <c r="D90" i="7"/>
  <c r="E90" i="7"/>
  <c r="F32" i="8"/>
  <c r="F18" i="8"/>
  <c r="F46" i="8" s="1"/>
  <c r="C35" i="8"/>
  <c r="C21" i="8"/>
  <c r="C49" i="8" s="1"/>
  <c r="E18" i="8"/>
  <c r="E46" i="8" s="1"/>
  <c r="E32" i="8"/>
  <c r="C20" i="8"/>
  <c r="C48" i="8" s="1"/>
  <c r="C34" i="8"/>
  <c r="G67" i="7"/>
  <c r="F84" i="7"/>
  <c r="D79" i="7"/>
  <c r="D80" i="7"/>
  <c r="G72" i="7"/>
  <c r="G71" i="7"/>
  <c r="G69" i="7"/>
  <c r="G73" i="7"/>
  <c r="G75" i="7"/>
  <c r="G76" i="7"/>
  <c r="D93" i="7"/>
  <c r="M12" i="6"/>
  <c r="E18" i="6"/>
  <c r="E16" i="6"/>
  <c r="E28" i="6"/>
  <c r="E26" i="6"/>
  <c r="E15" i="6"/>
  <c r="F8" i="6"/>
  <c r="N10" i="6"/>
  <c r="N11" i="6"/>
  <c r="R13" i="6"/>
  <c r="R12" i="6"/>
  <c r="Q12" i="6"/>
  <c r="Q13" i="6"/>
  <c r="F11" i="6"/>
  <c r="F5" i="6"/>
  <c r="F6" i="6"/>
  <c r="F7" i="6"/>
  <c r="F4" i="6"/>
  <c r="F10" i="6" s="1"/>
  <c r="M13" i="6"/>
  <c r="N13" i="6" s="1"/>
  <c r="M10" i="6"/>
  <c r="E86" i="11" l="1"/>
  <c r="F86" i="11"/>
  <c r="F85" i="11"/>
  <c r="D97" i="11"/>
  <c r="D101" i="11" s="1"/>
  <c r="E80" i="7"/>
  <c r="F80" i="7" s="1"/>
  <c r="F79" i="7"/>
  <c r="D96" i="7"/>
  <c r="F88" i="7"/>
  <c r="G32" i="8"/>
  <c r="G18" i="8"/>
  <c r="G46" i="8" s="1"/>
  <c r="C36" i="8"/>
  <c r="C22" i="8"/>
  <c r="C50" i="8" s="1"/>
  <c r="D81" i="7"/>
  <c r="G68" i="7"/>
  <c r="M6" i="6"/>
  <c r="N6" i="6" s="1"/>
  <c r="M7" i="6"/>
  <c r="N7" i="6" s="1"/>
  <c r="M8" i="6"/>
  <c r="N8" i="6" s="1"/>
  <c r="M5" i="6"/>
  <c r="N5" i="6" s="1"/>
  <c r="E97" i="11" l="1"/>
  <c r="D106" i="11"/>
  <c r="D107" i="11"/>
  <c r="C37" i="8"/>
  <c r="C23" i="8"/>
  <c r="C51" i="8" s="1"/>
  <c r="H32" i="8"/>
  <c r="H18" i="8"/>
  <c r="H46" i="8" s="1"/>
  <c r="E81" i="7"/>
  <c r="F81" i="7" s="1"/>
  <c r="G74" i="7"/>
  <c r="N12" i="6"/>
  <c r="I32" i="8" l="1"/>
  <c r="I18" i="8"/>
  <c r="I46" i="8" s="1"/>
  <c r="C38" i="8"/>
  <c r="C24" i="8"/>
  <c r="C52" i="8" s="1"/>
  <c r="D92" i="7"/>
  <c r="D97" i="7" l="1"/>
  <c r="V5" i="7" s="1"/>
  <c r="J32" i="8"/>
  <c r="J18" i="8"/>
  <c r="J46" i="8" s="1"/>
  <c r="C39" i="8"/>
  <c r="C25" i="8"/>
  <c r="C53" i="8" s="1"/>
  <c r="E92" i="7" l="1"/>
  <c r="D102" i="7"/>
  <c r="V31" i="7" s="1"/>
  <c r="D103" i="7"/>
  <c r="V18" i="7" s="1"/>
  <c r="D8" i="12"/>
  <c r="C4" i="8"/>
  <c r="C40" i="8"/>
  <c r="C26" i="8"/>
  <c r="C54" i="8" s="1"/>
  <c r="K32" i="8"/>
  <c r="K18" i="8"/>
  <c r="K46" i="8" s="1"/>
  <c r="E8" i="12" l="1"/>
  <c r="F8" i="12" s="1"/>
  <c r="G8" i="12" s="1"/>
  <c r="H8" i="12" s="1"/>
  <c r="I8" i="12" s="1"/>
  <c r="J8" i="12" s="1"/>
  <c r="K8" i="12" s="1"/>
  <c r="L8" i="12" s="1"/>
  <c r="M8" i="12" s="1"/>
  <c r="C46" i="8"/>
  <c r="C18" i="8"/>
  <c r="L32" i="8"/>
  <c r="L18" i="8"/>
  <c r="L46" i="8" s="1"/>
  <c r="C41" i="8"/>
  <c r="C27" i="8"/>
  <c r="C55" i="8" s="1"/>
  <c r="D104" i="7" l="1"/>
  <c r="V44" i="7" s="1"/>
  <c r="D105" i="7"/>
  <c r="D109" i="11"/>
  <c r="D108" i="11"/>
  <c r="M32" i="8"/>
  <c r="M18" i="8"/>
  <c r="M46" i="8" s="1"/>
  <c r="C32" i="8" l="1"/>
</calcChain>
</file>

<file path=xl/sharedStrings.xml><?xml version="1.0" encoding="utf-8"?>
<sst xmlns="http://schemas.openxmlformats.org/spreadsheetml/2006/main" count="420" uniqueCount="214">
  <si>
    <t>Conventional sprayer field capacity (ha/h)</t>
  </si>
  <si>
    <t>Optical sprayer field capacity (ha/h)</t>
  </si>
  <si>
    <t>Conventional</t>
  </si>
  <si>
    <t>Optical</t>
  </si>
  <si>
    <t>Area (ha)</t>
  </si>
  <si>
    <t>Hand weeding cost ($/hour)</t>
  </si>
  <si>
    <t>Revenue differential</t>
  </si>
  <si>
    <t>Monthly payments ($/month)</t>
  </si>
  <si>
    <t>Lorox</t>
  </si>
  <si>
    <t>Ultra blazer</t>
  </si>
  <si>
    <t>Assist</t>
  </si>
  <si>
    <t>Pardner</t>
  </si>
  <si>
    <t>Pardner ($/litre)</t>
  </si>
  <si>
    <t>Hand weeding hours</t>
  </si>
  <si>
    <t>Tractor  cost ($/hour)</t>
  </si>
  <si>
    <t>Goal</t>
  </si>
  <si>
    <t>Carrots yield (kg/ha)</t>
  </si>
  <si>
    <t>Onions yield (kg/ha)</t>
  </si>
  <si>
    <t>Sales revenue ($/year)</t>
  </si>
  <si>
    <t>TOTAL herbicides applications (1)</t>
  </si>
  <si>
    <t>TOTAL hand weeding cost (2)</t>
  </si>
  <si>
    <t>Benefits</t>
  </si>
  <si>
    <t>NPV</t>
  </si>
  <si>
    <t>Discount rate (% annual)</t>
  </si>
  <si>
    <t>Annual subcription cost ($/year) (4)</t>
  </si>
  <si>
    <t>ROI</t>
  </si>
  <si>
    <t>Carrot ha</t>
  </si>
  <si>
    <t>Onion ha</t>
  </si>
  <si>
    <t>Payback period (years)</t>
  </si>
  <si>
    <t>Carrot</t>
  </si>
  <si>
    <t>Sources</t>
  </si>
  <si>
    <t>Budgets | AgRisk Library</t>
  </si>
  <si>
    <t xml:space="preserve">Harvest labor </t>
  </si>
  <si>
    <t>hours</t>
  </si>
  <si>
    <t>$/unit</t>
  </si>
  <si>
    <t>Unit</t>
  </si>
  <si>
    <t>units/acre</t>
  </si>
  <si>
    <t>Total</t>
  </si>
  <si>
    <t>Grading &amp; Packing</t>
  </si>
  <si>
    <t>Miscellaneous expenses</t>
  </si>
  <si>
    <t>bags</t>
  </si>
  <si>
    <t>Bags</t>
  </si>
  <si>
    <t>UMN</t>
  </si>
  <si>
    <t>Carrots (50 lb. bags)</t>
  </si>
  <si>
    <t>50 lb. bags</t>
  </si>
  <si>
    <t>Sale price</t>
  </si>
  <si>
    <t>Total harvest and packaging cost/lb</t>
  </si>
  <si>
    <t>onion-cost-production-dialogue.pdf</t>
  </si>
  <si>
    <t>Sorting/picking labor</t>
  </si>
  <si>
    <t>Truck driver labor</t>
  </si>
  <si>
    <t>Bin rental</t>
  </si>
  <si>
    <t>Packing</t>
  </si>
  <si>
    <t>h/acre</t>
  </si>
  <si>
    <t>50 lb</t>
  </si>
  <si>
    <t>Onion OSU extension</t>
  </si>
  <si>
    <t>Fresh Carrot Price in Canada | Tridge</t>
  </si>
  <si>
    <t xml:space="preserve"> $/kg</t>
  </si>
  <si>
    <t>$/lb</t>
  </si>
  <si>
    <t>Sale price carrots (3)</t>
  </si>
  <si>
    <t>Sale price onions (4)</t>
  </si>
  <si>
    <t>Fresh - Onion - Cooking</t>
  </si>
  <si>
    <t>Sale price ($/lb)</t>
  </si>
  <si>
    <t>CAD</t>
  </si>
  <si>
    <t>Harvesting</t>
  </si>
  <si>
    <t>50wt</t>
  </si>
  <si>
    <t>Trucking</t>
  </si>
  <si>
    <t>Drying</t>
  </si>
  <si>
    <t>Ventilation</t>
  </si>
  <si>
    <t>Refrigeration</t>
  </si>
  <si>
    <t>Packing + Bags</t>
  </si>
  <si>
    <t>Northwestern Nevada Onion Production Costs and Returns | Extension | University of Nevada, Reno</t>
  </si>
  <si>
    <t>Operating Costs</t>
  </si>
  <si>
    <t>Total Units</t>
  </si>
  <si>
    <t>Price/Cost Per Unit</t>
  </si>
  <si>
    <t>Total Cost/Value</t>
  </si>
  <si>
    <t>Total Cost/Value Per Acre</t>
  </si>
  <si>
    <t>Total/50lb</t>
  </si>
  <si>
    <t>Total/lb</t>
  </si>
  <si>
    <t>Net annual benefit</t>
  </si>
  <si>
    <t>NET ANNUAL BENEFIT</t>
  </si>
  <si>
    <t>Inputs cost</t>
  </si>
  <si>
    <t>Yield</t>
  </si>
  <si>
    <t>Sale prices</t>
  </si>
  <si>
    <t>Hand weeding labour</t>
  </si>
  <si>
    <t>Sprayers capacity</t>
  </si>
  <si>
    <t>Yield increase with optical sprayer carrots (%)</t>
  </si>
  <si>
    <t>Yield increase with optical sprayer onions (%)</t>
  </si>
  <si>
    <t>Cultivated area (ha)</t>
  </si>
  <si>
    <t>Type of sprayer</t>
  </si>
  <si>
    <t>Average weed coverage (%)</t>
  </si>
  <si>
    <t># of application per year</t>
  </si>
  <si>
    <t>Herbicide trade name</t>
  </si>
  <si>
    <t>Herbicide application rates per application(l or kg/ha)</t>
  </si>
  <si>
    <t>Herbicide application rates per application (l or kg/ha)</t>
  </si>
  <si>
    <t>Total herbicide application costs</t>
  </si>
  <si>
    <t>Herbicide cost
$/(ha*year)</t>
  </si>
  <si>
    <t>Tractor cost
$/(ha*year)</t>
  </si>
  <si>
    <t>Total herbicides costs ($/year)</t>
  </si>
  <si>
    <t>Total tractor hours ($/year)</t>
  </si>
  <si>
    <t>Difference</t>
  </si>
  <si>
    <t>IRR</t>
  </si>
  <si>
    <t>Financial metrics</t>
  </si>
  <si>
    <t>Downpayment ($)</t>
  </si>
  <si>
    <t>Finance variables (opcional)</t>
  </si>
  <si>
    <t>Loan term (years)</t>
  </si>
  <si>
    <t>Interest rate (% annual)</t>
  </si>
  <si>
    <t>Total yearly payments ($/year)</t>
  </si>
  <si>
    <t>Loan payments</t>
  </si>
  <si>
    <t>Hand weeding total cost</t>
  </si>
  <si>
    <t>Trade name</t>
  </si>
  <si>
    <t>Sprayer type</t>
  </si>
  <si>
    <t>Total per product</t>
  </si>
  <si>
    <t>Net annual benefit of the project: different crop areas scenarios</t>
  </si>
  <si>
    <t>Description</t>
  </si>
  <si>
    <t>Cost of purchasing an optical sprayer</t>
  </si>
  <si>
    <t>Cost per hour to run the tractor pulling the sprayer, including wages</t>
  </si>
  <si>
    <t>Cost per hour of weeding hand labour</t>
  </si>
  <si>
    <t>Hours of hand weeding labour required for the entire season for carrots if a conventional sprayer is used</t>
  </si>
  <si>
    <t>Hours of hand weeding labour required for the entire season for onions if a conventional sprayer is used</t>
  </si>
  <si>
    <t>Total hectares cultivated with carrots</t>
  </si>
  <si>
    <t>Number of application per season of the herbicide</t>
  </si>
  <si>
    <t>Rate of herbicide per hectarea on each application</t>
  </si>
  <si>
    <t>Estimation of the total area of the field covered with weeds at the time of the application. 0% is a field with no weeds and 100% is completely covered in weeds.</t>
  </si>
  <si>
    <t>Herbicide use
l or kg/(ha*year)</t>
  </si>
  <si>
    <t>Tractor use
h/(ha*year)</t>
  </si>
  <si>
    <t>Assist adjuvant</t>
  </si>
  <si>
    <t>Herbicide cost comparison between applications with a conventional and an optical sprayer</t>
  </si>
  <si>
    <t>Tractor use for herbicide spraying: cost comparison between applications with a conventional and an optical sprayer</t>
  </si>
  <si>
    <t>Total herbicides application costs comparisson between application with an conventional and optical sprayer</t>
  </si>
  <si>
    <t>Total hand weeding costs if a conventional sprayer is used vs an optical sprayer</t>
  </si>
  <si>
    <t>Harvest, processing and packaging cost ($/year)</t>
  </si>
  <si>
    <t>Net sales revenue after harvest and processing costs ($/year) (3)</t>
  </si>
  <si>
    <t>Difference in herbicide application cost between a conventional and an optical sprayer. A negative value indicates that the optical sprayer has a higher cost.</t>
  </si>
  <si>
    <t>Difference in hand weeding cost between a conventional and an optical sprayer. A positive value indicates that the optical sprayer has a lower cost.</t>
  </si>
  <si>
    <t>Yearly subscription cost of the optical sprayer software as entered above.</t>
  </si>
  <si>
    <t>Net annual benefits of the optical sprayer compared to the conventional sprayer. A positive value indicates that the additional revenue and cost savings outweigh the higher operating costs of the machine.</t>
  </si>
  <si>
    <t>Expected monthly payments if the machine is financed in equal monthly payments in the defined term</t>
  </si>
  <si>
    <t>Expected total yearly payments if the machine is financed in equal monthly payments in the defined term</t>
  </si>
  <si>
    <t>Internal return rate (financial indicator)</t>
  </si>
  <si>
    <t>Net present value of the project (financial indicator)</t>
  </si>
  <si>
    <t>Average weed cover (%)</t>
  </si>
  <si>
    <r>
      <rPr>
        <b/>
        <sz val="12"/>
        <color rgb="FFFF0000"/>
        <rFont val="Segoe UI"/>
        <family val="2"/>
      </rPr>
      <t>Carrot</t>
    </r>
    <r>
      <rPr>
        <b/>
        <sz val="10"/>
        <color theme="2" tint="-0.749992370372631"/>
        <rFont val="Segoe UI"/>
        <family val="2"/>
      </rPr>
      <t xml:space="preserve"> herbicide application parameters</t>
    </r>
  </si>
  <si>
    <r>
      <rPr>
        <b/>
        <sz val="12"/>
        <color rgb="FFFF0000"/>
        <rFont val="Segoe UI"/>
        <family val="2"/>
      </rPr>
      <t>Onion</t>
    </r>
    <r>
      <rPr>
        <b/>
        <sz val="10"/>
        <color theme="2" tint="-0.749992370372631"/>
        <rFont val="Segoe UI"/>
        <family val="2"/>
      </rPr>
      <t xml:space="preserve"> herbicide application parameters</t>
    </r>
  </si>
  <si>
    <t xml:space="preserve">Total tractor hours and herbicide volumes </t>
  </si>
  <si>
    <r>
      <rPr>
        <b/>
        <sz val="14"/>
        <color theme="2" tint="-0.749992370372631"/>
        <rFont val="Segoe UI"/>
        <family val="2"/>
      </rPr>
      <t>Carrot</t>
    </r>
    <r>
      <rPr>
        <b/>
        <sz val="10"/>
        <color theme="2" tint="-0.749992370372631"/>
        <rFont val="Segoe UI"/>
        <family val="2"/>
      </rPr>
      <t xml:space="preserve"> herbicide application parameters</t>
    </r>
  </si>
  <si>
    <r>
      <rPr>
        <b/>
        <sz val="16"/>
        <color theme="2" tint="-0.749992370372631"/>
        <rFont val="Segoe UI"/>
        <family val="2"/>
      </rPr>
      <t>Onion</t>
    </r>
    <r>
      <rPr>
        <b/>
        <sz val="10"/>
        <color theme="2" tint="-0.749992370372631"/>
        <rFont val="Segoe UI"/>
        <family val="2"/>
      </rPr>
      <t xml:space="preserve"> herbicide application parameters</t>
    </r>
  </si>
  <si>
    <t>Gross sales revenue ($/year)</t>
  </si>
  <si>
    <t>NPV: different crop areas scenarios</t>
  </si>
  <si>
    <t>ROI: different crop areas scenarios</t>
  </si>
  <si>
    <t>Payback period (years): different crop areas scenarios</t>
  </si>
  <si>
    <r>
      <t xml:space="preserve">Hand weeding requirement with </t>
    </r>
    <r>
      <rPr>
        <b/>
        <sz val="11"/>
        <color theme="1"/>
        <rFont val="Segoe UI"/>
        <family val="2"/>
      </rPr>
      <t>conventional</t>
    </r>
    <r>
      <rPr>
        <sz val="11"/>
        <color theme="1"/>
        <rFont val="Segoe UI"/>
        <family val="2"/>
      </rPr>
      <t xml:space="preserve"> sprayer </t>
    </r>
    <r>
      <rPr>
        <b/>
        <sz val="11"/>
        <color theme="1"/>
        <rFont val="Segoe UI"/>
        <family val="2"/>
      </rPr>
      <t>carrots</t>
    </r>
    <r>
      <rPr>
        <sz val="11"/>
        <color theme="1"/>
        <rFont val="Segoe UI"/>
        <family val="2"/>
      </rPr>
      <t xml:space="preserve"> (h/ha)</t>
    </r>
  </si>
  <si>
    <r>
      <t xml:space="preserve">Hand weeding requirement with </t>
    </r>
    <r>
      <rPr>
        <b/>
        <sz val="11"/>
        <color theme="1"/>
        <rFont val="Segoe UI"/>
        <family val="2"/>
      </rPr>
      <t>optical</t>
    </r>
    <r>
      <rPr>
        <sz val="11"/>
        <color theme="1"/>
        <rFont val="Segoe UI"/>
        <family val="2"/>
      </rPr>
      <t xml:space="preserve"> sprayer </t>
    </r>
    <r>
      <rPr>
        <b/>
        <sz val="11"/>
        <color theme="1"/>
        <rFont val="Segoe UI"/>
        <family val="2"/>
      </rPr>
      <t>carrots</t>
    </r>
    <r>
      <rPr>
        <sz val="11"/>
        <color theme="1"/>
        <rFont val="Segoe UI"/>
        <family val="2"/>
      </rPr>
      <t xml:space="preserve"> (h/ha)</t>
    </r>
  </si>
  <si>
    <r>
      <t xml:space="preserve">Hand weeding requirement with </t>
    </r>
    <r>
      <rPr>
        <b/>
        <sz val="11"/>
        <color theme="1"/>
        <rFont val="Segoe UI"/>
        <family val="2"/>
      </rPr>
      <t>conventional</t>
    </r>
    <r>
      <rPr>
        <sz val="11"/>
        <color theme="1"/>
        <rFont val="Segoe UI"/>
        <family val="2"/>
      </rPr>
      <t xml:space="preserve"> sprayer </t>
    </r>
    <r>
      <rPr>
        <b/>
        <sz val="11"/>
        <color theme="1"/>
        <rFont val="Segoe UI"/>
        <family val="2"/>
      </rPr>
      <t>onions</t>
    </r>
    <r>
      <rPr>
        <sz val="11"/>
        <color theme="1"/>
        <rFont val="Segoe UI"/>
        <family val="2"/>
      </rPr>
      <t xml:space="preserve"> (h/ha)</t>
    </r>
  </si>
  <si>
    <r>
      <t xml:space="preserve">Hand weeding requirement with </t>
    </r>
    <r>
      <rPr>
        <b/>
        <sz val="11"/>
        <color theme="1"/>
        <rFont val="Segoe UI"/>
        <family val="2"/>
      </rPr>
      <t>optical</t>
    </r>
    <r>
      <rPr>
        <sz val="11"/>
        <color theme="1"/>
        <rFont val="Segoe UI"/>
        <family val="2"/>
      </rPr>
      <t xml:space="preserve"> sprayer </t>
    </r>
    <r>
      <rPr>
        <b/>
        <sz val="11"/>
        <color theme="1"/>
        <rFont val="Segoe UI"/>
        <family val="2"/>
      </rPr>
      <t>onions</t>
    </r>
    <r>
      <rPr>
        <sz val="11"/>
        <color theme="1"/>
        <rFont val="Segoe UI"/>
        <family val="2"/>
      </rPr>
      <t xml:space="preserve"> (h/ha)</t>
    </r>
  </si>
  <si>
    <t>Yearly optical sprayer subscription cost (3)</t>
  </si>
  <si>
    <t>Hand weeding difference (2)</t>
  </si>
  <si>
    <t>Sales revenue difference (4)</t>
  </si>
  <si>
    <t>Herbicide applications difference (1)</t>
  </si>
  <si>
    <t>Yearly optical sprayer subscription cost difference (3)</t>
  </si>
  <si>
    <t>Net sales revenue after harvest and processing costs ($/year) (4)</t>
  </si>
  <si>
    <t xml:space="preserve">Difference in net revenue as defined above (4) between a conventional and an optical sprayer. A positive value means increased revenue with the optical sprayer. </t>
  </si>
  <si>
    <t>Annual subcription cost of the optical sprayer</t>
  </si>
  <si>
    <r>
      <t xml:space="preserve">Yield increase with optical sprayer </t>
    </r>
    <r>
      <rPr>
        <b/>
        <sz val="11"/>
        <color theme="1"/>
        <rFont val="Segoe UI"/>
        <family val="2"/>
      </rPr>
      <t>carrots</t>
    </r>
    <r>
      <rPr>
        <sz val="11"/>
        <color theme="1"/>
        <rFont val="Segoe UI"/>
        <family val="2"/>
      </rPr>
      <t xml:space="preserve"> (%)</t>
    </r>
  </si>
  <si>
    <r>
      <t xml:space="preserve">Yield increase with optical sprayer </t>
    </r>
    <r>
      <rPr>
        <b/>
        <sz val="11"/>
        <color theme="1"/>
        <rFont val="Segoe UI"/>
        <family val="2"/>
      </rPr>
      <t>onions</t>
    </r>
    <r>
      <rPr>
        <sz val="11"/>
        <color theme="1"/>
        <rFont val="Segoe UI"/>
        <family val="2"/>
      </rPr>
      <t xml:space="preserve"> (%)</t>
    </r>
  </si>
  <si>
    <r>
      <rPr>
        <b/>
        <sz val="11"/>
        <color theme="1"/>
        <rFont val="Segoe UI"/>
        <family val="2"/>
      </rPr>
      <t>Carrots</t>
    </r>
    <r>
      <rPr>
        <sz val="11"/>
        <color theme="1"/>
        <rFont val="Segoe UI"/>
        <family val="2"/>
      </rPr>
      <t xml:space="preserve"> yield (kg/ha)</t>
    </r>
  </si>
  <si>
    <r>
      <rPr>
        <b/>
        <sz val="11"/>
        <color theme="1"/>
        <rFont val="Segoe UI"/>
        <family val="2"/>
      </rPr>
      <t>Onions</t>
    </r>
    <r>
      <rPr>
        <sz val="11"/>
        <color theme="1"/>
        <rFont val="Segoe UI"/>
        <family val="2"/>
      </rPr>
      <t xml:space="preserve"> yield (kg/ha)</t>
    </r>
  </si>
  <si>
    <r>
      <rPr>
        <b/>
        <sz val="11"/>
        <color theme="1"/>
        <rFont val="Segoe UI"/>
        <family val="2"/>
      </rPr>
      <t>Conventional</t>
    </r>
    <r>
      <rPr>
        <sz val="11"/>
        <color theme="1"/>
        <rFont val="Segoe UI"/>
        <family val="2"/>
      </rPr>
      <t xml:space="preserve"> sprayer field capacity (ha/h)</t>
    </r>
  </si>
  <si>
    <r>
      <rPr>
        <b/>
        <sz val="11"/>
        <color theme="1"/>
        <rFont val="Segoe UI"/>
        <family val="2"/>
      </rPr>
      <t>Optical</t>
    </r>
    <r>
      <rPr>
        <sz val="11"/>
        <color theme="1"/>
        <rFont val="Segoe UI"/>
        <family val="2"/>
      </rPr>
      <t xml:space="preserve"> sprayer field capacity (ha/h)</t>
    </r>
  </si>
  <si>
    <r>
      <t xml:space="preserve">Expected </t>
    </r>
    <r>
      <rPr>
        <b/>
        <i/>
        <sz val="10"/>
        <color theme="1"/>
        <rFont val="Segoe UI"/>
        <family val="2"/>
      </rPr>
      <t>carrots</t>
    </r>
    <r>
      <rPr>
        <i/>
        <sz val="10"/>
        <color theme="1"/>
        <rFont val="Segoe UI"/>
        <family val="2"/>
      </rPr>
      <t xml:space="preserve"> yield increase by using the optical sprayer due reduced weed competition and phytotoxicity</t>
    </r>
  </si>
  <si>
    <r>
      <t xml:space="preserve">Expected </t>
    </r>
    <r>
      <rPr>
        <b/>
        <i/>
        <sz val="10"/>
        <color theme="1"/>
        <rFont val="Segoe UI"/>
        <family val="2"/>
      </rPr>
      <t>onions</t>
    </r>
    <r>
      <rPr>
        <i/>
        <sz val="10"/>
        <color theme="1"/>
        <rFont val="Segoe UI"/>
        <family val="2"/>
      </rPr>
      <t xml:space="preserve"> yield increase by using the optical sprayer due reduced weed competition and phytotoxicity</t>
    </r>
  </si>
  <si>
    <r>
      <rPr>
        <b/>
        <sz val="10"/>
        <color theme="1"/>
        <rFont val="Segoe UI"/>
        <family val="2"/>
      </rPr>
      <t>Optional</t>
    </r>
    <r>
      <rPr>
        <sz val="10"/>
        <color theme="1"/>
        <rFont val="Segoe UI"/>
        <family val="2"/>
      </rPr>
      <t xml:space="preserve"> information if Net Present Value (NPV) calculation is desired </t>
    </r>
  </si>
  <si>
    <r>
      <rPr>
        <b/>
        <sz val="10"/>
        <color theme="1"/>
        <rFont val="Segoe UI"/>
        <family val="2"/>
      </rPr>
      <t>Optional</t>
    </r>
    <r>
      <rPr>
        <sz val="10"/>
        <color theme="1"/>
        <rFont val="Segoe UI"/>
        <family val="2"/>
      </rPr>
      <t xml:space="preserve"> information is loan payments calculation is desired </t>
    </r>
  </si>
  <si>
    <t>Loan interest rate (% annual)</t>
  </si>
  <si>
    <t>Total sales revenue based on the volumes expected of each commodity with the different sprayers</t>
  </si>
  <si>
    <t xml:space="preserve">Cost of harvest, processing, packaging and commercializing. This is calculated based on the expected harvested volume </t>
  </si>
  <si>
    <t>This row shows the net revenue from the total harvested volume of both crops, after subtracting the costs of harvest, processing, packaging and commercializing. It is used to compare the increase in net revenue that can be attributed to the expected yield gains.</t>
  </si>
  <si>
    <r>
      <t xml:space="preserve">Number of hectares that can be sprayed per hour with a </t>
    </r>
    <r>
      <rPr>
        <b/>
        <i/>
        <sz val="10"/>
        <color theme="1"/>
        <rFont val="Segoe UI"/>
        <family val="2"/>
      </rPr>
      <t>conventional</t>
    </r>
    <r>
      <rPr>
        <i/>
        <sz val="10"/>
        <color theme="1"/>
        <rFont val="Segoe UI"/>
        <family val="2"/>
      </rPr>
      <t xml:space="preserve"> sprayer</t>
    </r>
  </si>
  <si>
    <r>
      <t xml:space="preserve">Number of hectares that can be sprayed per hour with an </t>
    </r>
    <r>
      <rPr>
        <b/>
        <i/>
        <sz val="10"/>
        <color theme="1"/>
        <rFont val="Segoe UI"/>
        <family val="2"/>
      </rPr>
      <t>optical</t>
    </r>
    <r>
      <rPr>
        <i/>
        <sz val="10"/>
        <color theme="1"/>
        <rFont val="Segoe UI"/>
        <family val="2"/>
      </rPr>
      <t xml:space="preserve"> sprayer</t>
    </r>
  </si>
  <si>
    <t>Optical spray system annual maintenance cost = 1% purchase cost/year ($/year)</t>
  </si>
  <si>
    <t>Optical sprayer purchase price($)</t>
  </si>
  <si>
    <t>Conventional boom sprayer purchase price ($)</t>
  </si>
  <si>
    <t>Cost of purchasing a conventional boom sprayer</t>
  </si>
  <si>
    <t>Conventional spray system annual maintenance cost = 3.5% purchase price ($/year)</t>
  </si>
  <si>
    <r>
      <rPr>
        <b/>
        <sz val="11"/>
        <color theme="1"/>
        <rFont val="Segoe UI"/>
        <family val="2"/>
      </rPr>
      <t>Carrot</t>
    </r>
    <r>
      <rPr>
        <sz val="11"/>
        <color theme="1"/>
        <rFont val="Segoe UI"/>
        <family val="2"/>
      </rPr>
      <t xml:space="preserve"> harvest cost. Include processing and packaging cost if it's part of the operation. ($/metric ton)</t>
    </r>
  </si>
  <si>
    <r>
      <rPr>
        <b/>
        <sz val="11"/>
        <color theme="1"/>
        <rFont val="Segoe UI"/>
        <family val="2"/>
      </rPr>
      <t>Onion</t>
    </r>
    <r>
      <rPr>
        <sz val="11"/>
        <color theme="1"/>
        <rFont val="Segoe UI"/>
        <family val="2"/>
      </rPr>
      <t xml:space="preserve"> harvest cost. Include processing and packaging cost if it's part of the operation. ($/metric ton)</t>
    </r>
  </si>
  <si>
    <r>
      <rPr>
        <b/>
        <sz val="11"/>
        <color theme="1"/>
        <rFont val="Segoe UI"/>
        <family val="2"/>
      </rPr>
      <t>Carrots</t>
    </r>
    <r>
      <rPr>
        <sz val="11"/>
        <color theme="1"/>
        <rFont val="Segoe UI"/>
        <family val="2"/>
      </rPr>
      <t xml:space="preserve"> sale price. It can be farmed gate or washed, graded and packed, depending on the operation. ($/metric ton)</t>
    </r>
  </si>
  <si>
    <r>
      <rPr>
        <b/>
        <sz val="11"/>
        <color theme="1"/>
        <rFont val="Segoe UI"/>
        <family val="2"/>
      </rPr>
      <t>Onions</t>
    </r>
    <r>
      <rPr>
        <sz val="11"/>
        <color theme="1"/>
        <rFont val="Segoe UI"/>
        <family val="2"/>
      </rPr>
      <t xml:space="preserve"> sale price. It can be farmed gate or cleaned, graded and packed, depending on the operation. ($/metric ton)</t>
    </r>
  </si>
  <si>
    <t xml:space="preserve">Annual maintenance cost of the optical sprayer. It's calculate as 3.5% of the purchase price. </t>
  </si>
  <si>
    <t xml:space="preserve">Annual maintenance cost of the optical sprayer. It's calculate as 1.5% of the purchase price. </t>
  </si>
  <si>
    <t xml:space="preserve">Cost per metric ton to harvest carrots. If the company also sorts, cleans and packs them, the cost of those operations should be included and the sale price in line 17 should represent the one of the final product. </t>
  </si>
  <si>
    <t xml:space="preserve">Cost per metric ton to harvest onions. If the company also sorts, cleans and packs them, the cost of those operations should be included and the sale price in line 18 should represent the one of the final product. </t>
  </si>
  <si>
    <t>Sale price per metric ton of carrots. This can represent the price of carrots sold at farm gate or washed, graded and packed, depending on the company. It's important to be consistent with the information entered in line 14</t>
  </si>
  <si>
    <t>Sale price per metric ton of onions. This can represent the price of carrots sold at farm gate or cleaned, graded and packed, depending on the company. It's important to be consistent with the information entered in line 15</t>
  </si>
  <si>
    <r>
      <t xml:space="preserve">Hand weeding requirement with </t>
    </r>
    <r>
      <rPr>
        <b/>
        <sz val="11"/>
        <color theme="1"/>
        <rFont val="Segoe UI"/>
        <family val="2"/>
      </rPr>
      <t>conventional</t>
    </r>
    <r>
      <rPr>
        <sz val="11"/>
        <color theme="1"/>
        <rFont val="Segoe UI"/>
        <family val="2"/>
      </rPr>
      <t xml:space="preserve"> sprayer </t>
    </r>
    <r>
      <rPr>
        <b/>
        <sz val="11"/>
        <color rgb="FFFF0000"/>
        <rFont val="Segoe UI"/>
        <family val="2"/>
      </rPr>
      <t>carrots</t>
    </r>
    <r>
      <rPr>
        <sz val="11"/>
        <color theme="1"/>
        <rFont val="Segoe UI"/>
        <family val="2"/>
      </rPr>
      <t xml:space="preserve"> (h/ha)</t>
    </r>
  </si>
  <si>
    <r>
      <t xml:space="preserve">Hand weeding requirement with </t>
    </r>
    <r>
      <rPr>
        <b/>
        <sz val="11"/>
        <color theme="1"/>
        <rFont val="Segoe UI"/>
        <family val="2"/>
      </rPr>
      <t>optical</t>
    </r>
    <r>
      <rPr>
        <sz val="11"/>
        <color theme="1"/>
        <rFont val="Segoe UI"/>
        <family val="2"/>
      </rPr>
      <t xml:space="preserve"> sprayer </t>
    </r>
    <r>
      <rPr>
        <b/>
        <sz val="11"/>
        <color rgb="FFFF0000"/>
        <rFont val="Segoe UI"/>
        <family val="2"/>
      </rPr>
      <t>carrots</t>
    </r>
    <r>
      <rPr>
        <sz val="11"/>
        <color theme="1"/>
        <rFont val="Segoe UI"/>
        <family val="2"/>
      </rPr>
      <t xml:space="preserve"> (h/ha)</t>
    </r>
  </si>
  <si>
    <r>
      <t xml:space="preserve">Hand weeding requirement with </t>
    </r>
    <r>
      <rPr>
        <b/>
        <sz val="11"/>
        <color theme="1"/>
        <rFont val="Segoe UI"/>
        <family val="2"/>
      </rPr>
      <t>conventional</t>
    </r>
    <r>
      <rPr>
        <sz val="11"/>
        <color theme="1"/>
        <rFont val="Segoe UI"/>
        <family val="2"/>
      </rPr>
      <t xml:space="preserve"> sprayer </t>
    </r>
    <r>
      <rPr>
        <b/>
        <sz val="11"/>
        <color rgb="FFFF0000"/>
        <rFont val="Segoe UI"/>
        <family val="2"/>
      </rPr>
      <t>onions</t>
    </r>
    <r>
      <rPr>
        <sz val="11"/>
        <color theme="1"/>
        <rFont val="Segoe UI"/>
        <family val="2"/>
      </rPr>
      <t xml:space="preserve"> (h/ha)</t>
    </r>
  </si>
  <si>
    <r>
      <t xml:space="preserve">Hand weeding requirement with </t>
    </r>
    <r>
      <rPr>
        <b/>
        <sz val="11"/>
        <color theme="1"/>
        <rFont val="Segoe UI"/>
        <family val="2"/>
      </rPr>
      <t>optical</t>
    </r>
    <r>
      <rPr>
        <sz val="11"/>
        <color theme="1"/>
        <rFont val="Segoe UI"/>
        <family val="2"/>
      </rPr>
      <t xml:space="preserve"> sprayer </t>
    </r>
    <r>
      <rPr>
        <b/>
        <sz val="11"/>
        <color rgb="FFFF0000"/>
        <rFont val="Segoe UI"/>
        <family val="2"/>
      </rPr>
      <t>onions</t>
    </r>
    <r>
      <rPr>
        <sz val="11"/>
        <color theme="1"/>
        <rFont val="Segoe UI"/>
        <family val="2"/>
      </rPr>
      <t xml:space="preserve"> (h/ha)</t>
    </r>
  </si>
  <si>
    <r>
      <rPr>
        <b/>
        <sz val="11"/>
        <color theme="1"/>
        <rFont val="Segoe UI"/>
        <family val="2"/>
      </rPr>
      <t>Carrots</t>
    </r>
    <r>
      <rPr>
        <sz val="11"/>
        <color theme="1"/>
        <rFont val="Segoe UI"/>
        <family val="2"/>
      </rPr>
      <t xml:space="preserve"> sale price. It can be farmed gate or washed, graded and packed, depending on the operation ($/metric ton)</t>
    </r>
  </si>
  <si>
    <r>
      <rPr>
        <b/>
        <sz val="11"/>
        <color theme="1"/>
        <rFont val="Segoe UI"/>
        <family val="2"/>
      </rPr>
      <t>Onions</t>
    </r>
    <r>
      <rPr>
        <sz val="11"/>
        <color theme="1"/>
        <rFont val="Segoe UI"/>
        <family val="2"/>
      </rPr>
      <t xml:space="preserve"> sale price. It can be farmed gate or cleaned, graded and packed, depending on the operation ($/metric ton)</t>
    </r>
  </si>
  <si>
    <r>
      <rPr>
        <b/>
        <sz val="11"/>
        <color theme="1"/>
        <rFont val="Segoe UI"/>
        <family val="2"/>
      </rPr>
      <t>Carrot</t>
    </r>
    <r>
      <rPr>
        <sz val="11"/>
        <color theme="1"/>
        <rFont val="Segoe UI"/>
        <family val="2"/>
      </rPr>
      <t xml:space="preserve"> harvest cost. Include processing and packaging cost if it's part of the operation ($/metric ton)</t>
    </r>
  </si>
  <si>
    <r>
      <rPr>
        <b/>
        <sz val="11"/>
        <color theme="1"/>
        <rFont val="Segoe UI"/>
        <family val="2"/>
      </rPr>
      <t>Onion</t>
    </r>
    <r>
      <rPr>
        <sz val="11"/>
        <color theme="1"/>
        <rFont val="Segoe UI"/>
        <family val="2"/>
      </rPr>
      <t xml:space="preserve"> harvest cost. Include processing and packaging cost if it's part of the operation ($/metric ton)</t>
    </r>
  </si>
  <si>
    <t>Herbicide use 
(l or kg/ha/year)</t>
  </si>
  <si>
    <t>Tractor use (h/ha/year)</t>
  </si>
  <si>
    <t>Herbicide cost 
($/ha/year)</t>
  </si>
  <si>
    <t>Tractor cost 
($/ha/year)</t>
  </si>
  <si>
    <t>Optical spray system annual maintenance cost = 1.5% purchase cost/year ($/year)</t>
  </si>
  <si>
    <t xml:space="preserve">Difference in maintenance cost </t>
  </si>
  <si>
    <t>Total hectares cultivated with onions</t>
  </si>
  <si>
    <t>Scenarios analysis tables</t>
  </si>
  <si>
    <t>Net annual benefit of the project: different crop areas scenarios (row 96)</t>
  </si>
  <si>
    <t>ROI: different crop areas scenarios (row 102)</t>
  </si>
  <si>
    <t>Payback period (years): different crop areas scenarios (row 101)</t>
  </si>
  <si>
    <t>NPV: different crop areas scenarios (row 103)</t>
  </si>
  <si>
    <t>Financial variables (optional)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</si>
</sst>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8" formatCode="&quot;$&quot;#,##0.00;[Red]\-&quot;$&quot;#,##0.00"/>
    <numFmt numFmtId="44" formatCode="_-&quot;$&quot;* #,##0.00_-;\-&quot;$&quot;* #,##0.00_-;_-&quot;$&quot;* &quot;-&quot;??_-;_-@_-"/>
    <numFmt numFmtId="43" formatCode="_-* #,##0.00_-;\-* #,##0.00_-;_-* &quot;-&quot;??_-;_-@_-"/>
    <numFmt numFmtId="164" formatCode="_-* #,##0_-;\-* #,##0_-;_-* &quot;-&quot;??_-;_-@_-"/>
    <numFmt numFmtId="165" formatCode="_-&quot;$&quot;* #,##0_-;\-&quot;$&quot;* #,##0_-;_-&quot;$&quot;* &quot;-&quot;??_-;_-@_-"/>
    <numFmt numFmtId="166" formatCode="_-&quot;$&quot;* #,##0.0_-;\-&quot;$&quot;* #,##0.0_-;_-&quot;$&quot;* &quot;-&quot;??_-;_-@_-"/>
    <numFmt numFmtId="167" formatCode="0.0"/>
    <numFmt numFmtId="168" formatCode="0.000"/>
    <numFmt numFmtId="169" formatCode="_-* #,##0.0_-;\-* #,##0.0_-;_-* &quot;-&quot;??_-;_-@_-"/>
    <numFmt numFmtId="170" formatCode="0.0%"/>
    <numFmt numFmtId="171" formatCode="&quot;$&quot;#,##0.00"/>
    <numFmt numFmtId="172" formatCode="&quot;$&quot;#,##0.000;[Red]\-&quot;$&quot;#,##0.000"/>
    <numFmt numFmtId="173" formatCode="_-&quot;$&quot;* #,##0.000_-;\-&quot;$&quot;* #,##0.000_-;_-&quot;$&quot;* &quot;-&quot;??_-;_-@_-"/>
  </numFmts>
  <fonts count="43"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sz val="12"/>
      <color theme="1"/>
      <name val="Aptos Narrow"/>
      <family val="2"/>
      <scheme val="minor"/>
    </font>
    <font>
      <sz val="11"/>
      <color rgb="FF000000"/>
      <name val="Palatino Linotype"/>
      <family val="1"/>
    </font>
    <font>
      <b/>
      <sz val="11"/>
      <color rgb="FF000000"/>
      <name val="Palatino Linotype"/>
      <family val="1"/>
    </font>
    <font>
      <sz val="11"/>
      <color theme="1"/>
      <name val="Palatino Linotype"/>
      <family val="1"/>
    </font>
    <font>
      <b/>
      <sz val="11"/>
      <color theme="1"/>
      <name val="Palatino Linotype"/>
      <family val="1"/>
    </font>
    <font>
      <sz val="11"/>
      <color rgb="FF3A3B3E"/>
      <name val="Arial"/>
      <family val="2"/>
    </font>
    <font>
      <b/>
      <sz val="10"/>
      <color rgb="FFFFFFFF"/>
      <name val="Arial"/>
      <family val="2"/>
    </font>
    <font>
      <sz val="10"/>
      <color theme="1"/>
      <name val="Segoe UI"/>
      <family val="2"/>
    </font>
    <font>
      <b/>
      <sz val="10"/>
      <color theme="1"/>
      <name val="Segoe UI"/>
      <family val="2"/>
    </font>
    <font>
      <sz val="11"/>
      <color theme="1"/>
      <name val="Segoe UI"/>
      <family val="2"/>
    </font>
    <font>
      <sz val="11"/>
      <color rgb="FF4A4A4A"/>
      <name val="Segoe UI"/>
      <family val="2"/>
    </font>
    <font>
      <b/>
      <sz val="10"/>
      <color theme="2" tint="-0.749992370372631"/>
      <name val="Segoe UI"/>
      <family val="2"/>
    </font>
    <font>
      <sz val="10"/>
      <color theme="2" tint="-0.749992370372631"/>
      <name val="Segoe UI"/>
      <family val="2"/>
    </font>
    <font>
      <b/>
      <sz val="11"/>
      <color theme="2" tint="-0.749992370372631"/>
      <name val="Segoe UI"/>
      <family val="2"/>
    </font>
    <font>
      <b/>
      <sz val="10"/>
      <color theme="0" tint="-4.9989318521683403E-2"/>
      <name val="Segoe UI"/>
      <family val="2"/>
    </font>
    <font>
      <b/>
      <sz val="11"/>
      <color theme="1" tint="0.14999847407452621"/>
      <name val="Segoe UI"/>
      <family val="2"/>
    </font>
    <font>
      <sz val="11"/>
      <color theme="1" tint="0.14999847407452621"/>
      <name val="Segoe UI"/>
      <family val="2"/>
    </font>
    <font>
      <b/>
      <sz val="12"/>
      <color theme="0" tint="-4.9989318521683403E-2"/>
      <name val="Segoe UI"/>
      <family val="2"/>
    </font>
    <font>
      <b/>
      <sz val="12"/>
      <color theme="2" tint="-0.749992370372631"/>
      <name val="Segoe UI"/>
      <family val="2"/>
    </font>
    <font>
      <b/>
      <sz val="12"/>
      <color theme="1" tint="0.14999847407452621"/>
      <name val="Segoe UI"/>
      <family val="2"/>
    </font>
    <font>
      <b/>
      <sz val="12"/>
      <color theme="1"/>
      <name val="Segoe UI"/>
      <family val="2"/>
    </font>
    <font>
      <b/>
      <sz val="14"/>
      <color theme="1"/>
      <name val="Aptos Narrow"/>
      <family val="2"/>
      <scheme val="minor"/>
    </font>
    <font>
      <i/>
      <sz val="10"/>
      <color theme="1"/>
      <name val="Segoe UI"/>
      <family val="2"/>
    </font>
    <font>
      <i/>
      <sz val="9"/>
      <color theme="1"/>
      <name val="Segoe UI"/>
      <family val="2"/>
    </font>
    <font>
      <b/>
      <sz val="9"/>
      <color theme="2" tint="-0.749992370372631"/>
      <name val="Segoe UI"/>
      <family val="2"/>
    </font>
    <font>
      <b/>
      <sz val="10"/>
      <color theme="1" tint="0.14999847407452621"/>
      <name val="Segoe UI"/>
      <family val="2"/>
    </font>
    <font>
      <b/>
      <sz val="12"/>
      <color rgb="FFFF0000"/>
      <name val="Segoe UI"/>
      <family val="2"/>
    </font>
    <font>
      <b/>
      <sz val="14"/>
      <color theme="2" tint="-0.749992370372631"/>
      <name val="Segoe UI"/>
      <family val="2"/>
    </font>
    <font>
      <b/>
      <sz val="16"/>
      <color theme="2" tint="-0.749992370372631"/>
      <name val="Segoe UI"/>
      <family val="2"/>
    </font>
    <font>
      <b/>
      <sz val="14"/>
      <color theme="0" tint="-4.9989318521683403E-2"/>
      <name val="Aptos Narrow"/>
      <family val="2"/>
      <scheme val="minor"/>
    </font>
    <font>
      <b/>
      <sz val="12"/>
      <color theme="1"/>
      <name val="Aptos Narrow"/>
      <family val="2"/>
      <scheme val="minor"/>
    </font>
    <font>
      <b/>
      <sz val="14"/>
      <color theme="1" tint="0.14999847407452621"/>
      <name val="Aptos Narrow"/>
      <family val="2"/>
      <scheme val="minor"/>
    </font>
    <font>
      <b/>
      <sz val="14"/>
      <color theme="0"/>
      <name val="Aptos Narrow"/>
      <family val="2"/>
      <scheme val="minor"/>
    </font>
    <font>
      <b/>
      <sz val="11"/>
      <color theme="1"/>
      <name val="Segoe UI"/>
      <family val="2"/>
    </font>
    <font>
      <b/>
      <i/>
      <sz val="10"/>
      <color theme="1"/>
      <name val="Segoe UI"/>
      <family val="2"/>
    </font>
    <font>
      <sz val="8"/>
      <name val="Aptos Narrow"/>
      <family val="2"/>
      <scheme val="minor"/>
    </font>
    <font>
      <b/>
      <sz val="11"/>
      <color rgb="FFFF0000"/>
      <name val="Segoe UI"/>
      <family val="2"/>
    </font>
    <font>
      <b/>
      <sz val="18"/>
      <color theme="1"/>
      <name val="Segoe UI"/>
      <family val="2"/>
    </font>
  </fonts>
  <fills count="43">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8"/>
        <bgColor indexed="64"/>
      </patternFill>
    </fill>
    <fill>
      <patternFill patternType="solid">
        <fgColor rgb="FFFFFFFF"/>
        <bgColor indexed="64"/>
      </patternFill>
    </fill>
    <fill>
      <patternFill patternType="solid">
        <fgColor rgb="FFF1F1F1"/>
        <bgColor indexed="64"/>
      </patternFill>
    </fill>
    <fill>
      <patternFill patternType="solid">
        <fgColor rgb="FF041E42"/>
        <bgColor indexed="64"/>
      </patternFill>
    </fill>
    <fill>
      <patternFill patternType="solid">
        <fgColor theme="0" tint="-4.9989318521683403E-2"/>
        <bgColor indexed="64"/>
      </patternFill>
    </fill>
    <fill>
      <patternFill patternType="solid">
        <fgColor theme="4"/>
      </patternFill>
    </fill>
    <fill>
      <patternFill patternType="solid">
        <fgColor theme="4" tint="0.79998168889431442"/>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FFFCC"/>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0"/>
        <bgColor indexed="64"/>
      </patternFill>
    </fill>
    <fill>
      <patternFill patternType="solid">
        <fgColor theme="2" tint="-0.249977111117893"/>
        <bgColor indexed="64"/>
      </patternFill>
    </fill>
    <fill>
      <patternFill patternType="solid">
        <fgColor them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00206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749992370372631"/>
        <bgColor indexed="64"/>
      </patternFill>
    </fill>
    <fill>
      <patternFill patternType="solid">
        <fgColor theme="4" tint="0.39997558519241921"/>
        <bgColor indexed="64"/>
      </patternFill>
    </fill>
    <fill>
      <patternFill patternType="solid">
        <fgColor theme="4" tint="-0.249977111117893"/>
        <bgColor indexed="64"/>
      </patternFill>
    </fill>
  </fills>
  <borders count="19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double">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style="medium">
        <color rgb="FF46474A"/>
      </left>
      <right style="medium">
        <color rgb="FF46474A"/>
      </right>
      <top style="medium">
        <color rgb="FF46474A"/>
      </top>
      <bottom style="medium">
        <color rgb="FF46474A"/>
      </bottom>
      <diagonal/>
    </border>
    <border>
      <left style="medium">
        <color rgb="FF041E42"/>
      </left>
      <right style="medium">
        <color rgb="FF46474A"/>
      </right>
      <top style="medium">
        <color rgb="FF041E42"/>
      </top>
      <bottom style="medium">
        <color rgb="FF041E42"/>
      </bottom>
      <diagonal/>
    </border>
    <border>
      <left style="medium">
        <color rgb="FF46474A"/>
      </left>
      <right style="medium">
        <color rgb="FF46474A"/>
      </right>
      <top style="medium">
        <color rgb="FF041E42"/>
      </top>
      <bottom style="medium">
        <color rgb="FF041E42"/>
      </bottom>
      <diagonal/>
    </border>
    <border>
      <left style="medium">
        <color rgb="FF46474A"/>
      </left>
      <right style="medium">
        <color rgb="FF46474A"/>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medium">
        <color theme="2" tint="-0.499984740745262"/>
      </top>
      <bottom style="thin">
        <color theme="2" tint="-0.499984740745262"/>
      </bottom>
      <diagonal/>
    </border>
    <border>
      <left/>
      <right style="thin">
        <color theme="2" tint="-0.499984740745262"/>
      </right>
      <top style="thin">
        <color theme="2" tint="-0.499984740745262"/>
      </top>
      <bottom style="medium">
        <color theme="2" tint="-0.499984740745262"/>
      </bottom>
      <diagonal/>
    </border>
    <border>
      <left style="medium">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medium">
        <color theme="2" tint="-0.499984740745262"/>
      </right>
      <top style="thin">
        <color theme="2" tint="-0.499984740745262"/>
      </top>
      <bottom style="medium">
        <color theme="2" tint="-0.499984740745262"/>
      </bottom>
      <diagonal/>
    </border>
    <border>
      <left style="medium">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medium">
        <color theme="2" tint="-0.499984740745262"/>
      </right>
      <top style="medium">
        <color theme="2" tint="-0.499984740745262"/>
      </top>
      <bottom style="medium">
        <color theme="2" tint="-0.499984740745262"/>
      </bottom>
      <diagonal/>
    </border>
    <border>
      <left style="medium">
        <color theme="2" tint="-0.499984740745262"/>
      </left>
      <right/>
      <top style="thin">
        <color theme="2" tint="-0.499984740745262"/>
      </top>
      <bottom style="thin">
        <color theme="2" tint="-0.499984740745262"/>
      </bottom>
      <diagonal/>
    </border>
    <border>
      <left style="medium">
        <color theme="2" tint="-0.499984740745262"/>
      </left>
      <right/>
      <top style="thin">
        <color theme="2" tint="-0.499984740745262"/>
      </top>
      <bottom style="medium">
        <color theme="2" tint="-0.499984740745262"/>
      </bottom>
      <diagonal/>
    </border>
    <border>
      <left style="thin">
        <color theme="2" tint="-0.499984740745262"/>
      </left>
      <right style="thin">
        <color theme="2" tint="-0.499984740745262"/>
      </right>
      <top style="medium">
        <color theme="2" tint="-0.499984740745262"/>
      </top>
      <bottom/>
      <diagonal/>
    </border>
    <border>
      <left style="thin">
        <color theme="2" tint="-0.499984740745262"/>
      </left>
      <right style="medium">
        <color theme="2" tint="-0.499984740745262"/>
      </right>
      <top style="medium">
        <color theme="2" tint="-0.499984740745262"/>
      </top>
      <bottom/>
      <diagonal/>
    </border>
    <border>
      <left/>
      <right style="medium">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style="medium">
        <color theme="2" tint="-0.499984740745262"/>
      </bottom>
      <diagonal/>
    </border>
    <border>
      <left/>
      <right/>
      <top style="medium">
        <color theme="2" tint="-0.499984740745262"/>
      </top>
      <bottom style="medium">
        <color theme="2" tint="-0.499984740745262"/>
      </bottom>
      <diagonal/>
    </border>
    <border>
      <left style="thin">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thin">
        <color theme="2" tint="-0.499984740745262"/>
      </right>
      <top/>
      <bottom/>
      <diagonal/>
    </border>
    <border>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bottom/>
      <diagonal/>
    </border>
    <border>
      <left style="thin">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499984740745262"/>
      </left>
      <right/>
      <top style="medium">
        <color theme="2" tint="-0.499984740745262"/>
      </top>
      <bottom style="thin">
        <color theme="2" tint="-0.499984740745262"/>
      </bottom>
      <diagonal/>
    </border>
    <border>
      <left style="thin">
        <color theme="2" tint="-0.499984740745262"/>
      </left>
      <right/>
      <top style="thin">
        <color theme="2" tint="-0.499984740745262"/>
      </top>
      <bottom style="medium">
        <color theme="2" tint="-0.499984740745262"/>
      </bottom>
      <diagonal/>
    </border>
    <border>
      <left style="medium">
        <color theme="2" tint="-0.499984740745262"/>
      </left>
      <right/>
      <top style="medium">
        <color theme="2" tint="-0.499984740745262"/>
      </top>
      <bottom/>
      <diagonal/>
    </border>
    <border>
      <left style="medium">
        <color theme="2" tint="-0.499984740745262"/>
      </left>
      <right/>
      <top/>
      <bottom/>
      <diagonal/>
    </border>
    <border>
      <left style="medium">
        <color theme="2" tint="-0.499984740745262"/>
      </left>
      <right/>
      <top/>
      <bottom style="medium">
        <color theme="2" tint="-0.499984740745262"/>
      </bottom>
      <diagonal/>
    </border>
    <border>
      <left/>
      <right/>
      <top style="medium">
        <color theme="2" tint="-0.499984740745262"/>
      </top>
      <bottom style="thin">
        <color theme="2" tint="-0.499984740745262"/>
      </bottom>
      <diagonal/>
    </border>
    <border>
      <left/>
      <right/>
      <top style="thin">
        <color theme="2" tint="-0.499984740745262"/>
      </top>
      <bottom style="medium">
        <color theme="2" tint="-0.499984740745262"/>
      </bottom>
      <diagonal/>
    </border>
    <border>
      <left/>
      <right style="thin">
        <color theme="2" tint="-0.499984740745262"/>
      </right>
      <top style="medium">
        <color theme="2" tint="-0.499984740745262"/>
      </top>
      <bottom style="medium">
        <color theme="2" tint="-0.499984740745262"/>
      </bottom>
      <diagonal/>
    </border>
    <border>
      <left/>
      <right style="thin">
        <color theme="2" tint="-0.499984740745262"/>
      </right>
      <top/>
      <bottom style="medium">
        <color theme="2" tint="-0.499984740745262"/>
      </bottom>
      <diagonal/>
    </border>
    <border>
      <left style="medium">
        <color theme="2" tint="-0.499984740745262"/>
      </left>
      <right style="thin">
        <color theme="2" tint="-0.499984740745262"/>
      </right>
      <top style="thin">
        <color theme="2" tint="-0.499984740745262"/>
      </top>
      <bottom style="double">
        <color theme="2" tint="-0.499984740745262"/>
      </bottom>
      <diagonal/>
    </border>
    <border>
      <left style="thin">
        <color theme="2" tint="-0.499984740745262"/>
      </left>
      <right style="medium">
        <color theme="2" tint="-0.499984740745262"/>
      </right>
      <top style="thin">
        <color theme="2" tint="-0.499984740745262"/>
      </top>
      <bottom style="double">
        <color theme="2" tint="-0.499984740745262"/>
      </bottom>
      <diagonal/>
    </border>
    <border>
      <left style="medium">
        <color theme="2" tint="-0.499984740745262"/>
      </left>
      <right style="thin">
        <color theme="2" tint="-0.499984740745262"/>
      </right>
      <top/>
      <bottom style="medium">
        <color theme="2" tint="-0.499984740745262"/>
      </bottom>
      <diagonal/>
    </border>
    <border>
      <left style="medium">
        <color theme="2" tint="-0.499984740745262"/>
      </left>
      <right style="medium">
        <color theme="2" tint="-0.499984740745262"/>
      </right>
      <top style="medium">
        <color theme="2" tint="-0.499984740745262"/>
      </top>
      <bottom/>
      <diagonal/>
    </border>
    <border>
      <left style="medium">
        <color theme="2" tint="-0.499984740745262"/>
      </left>
      <right style="medium">
        <color theme="2" tint="-0.499984740745262"/>
      </right>
      <top/>
      <bottom style="medium">
        <color theme="2" tint="-0.499984740745262"/>
      </bottom>
      <diagonal/>
    </border>
    <border>
      <left style="thin">
        <color theme="2" tint="-0.499984740745262"/>
      </left>
      <right style="medium">
        <color theme="2" tint="-0.499984740745262"/>
      </right>
      <top/>
      <bottom style="medium">
        <color theme="2" tint="-0.499984740745262"/>
      </bottom>
      <diagonal/>
    </border>
    <border>
      <left style="medium">
        <color theme="2" tint="-0.499984740745262"/>
      </left>
      <right style="thin">
        <color theme="2" tint="-0.499984740745262"/>
      </right>
      <top style="medium">
        <color theme="2" tint="-0.499984740745262"/>
      </top>
      <bottom style="hair">
        <color theme="2" tint="-0.499984740745262"/>
      </bottom>
      <diagonal/>
    </border>
    <border>
      <left style="thin">
        <color theme="2" tint="-0.499984740745262"/>
      </left>
      <right style="thin">
        <color theme="2" tint="-0.499984740745262"/>
      </right>
      <top style="medium">
        <color theme="2" tint="-0.499984740745262"/>
      </top>
      <bottom style="hair">
        <color theme="2" tint="-0.499984740745262"/>
      </bottom>
      <diagonal/>
    </border>
    <border>
      <left style="thin">
        <color theme="2" tint="-0.499984740745262"/>
      </left>
      <right style="medium">
        <color theme="2" tint="-0.499984740745262"/>
      </right>
      <top style="medium">
        <color theme="2" tint="-0.499984740745262"/>
      </top>
      <bottom style="hair">
        <color theme="2" tint="-0.499984740745262"/>
      </bottom>
      <diagonal/>
    </border>
    <border>
      <left/>
      <right style="thin">
        <color theme="2" tint="-0.499984740745262"/>
      </right>
      <top/>
      <bottom/>
      <diagonal/>
    </border>
    <border>
      <left style="thin">
        <color theme="2" tint="-0.499984740745262"/>
      </left>
      <right style="medium">
        <color theme="2" tint="-0.499984740745262"/>
      </right>
      <top/>
      <bottom/>
      <diagonal/>
    </border>
    <border>
      <left style="medium">
        <color theme="2" tint="-0.499984740745262"/>
      </left>
      <right style="medium">
        <color theme="2" tint="-0.499984740745262"/>
      </right>
      <top/>
      <bottom/>
      <diagonal/>
    </border>
    <border>
      <left style="medium">
        <color theme="2" tint="-0.499984740745262"/>
      </left>
      <right style="thin">
        <color indexed="64"/>
      </right>
      <top style="medium">
        <color theme="2" tint="-0.499984740745262"/>
      </top>
      <bottom style="thin">
        <color indexed="64"/>
      </bottom>
      <diagonal/>
    </border>
    <border>
      <left style="thin">
        <color indexed="64"/>
      </left>
      <right style="thin">
        <color indexed="64"/>
      </right>
      <top style="medium">
        <color theme="2" tint="-0.499984740745262"/>
      </top>
      <bottom style="thin">
        <color indexed="64"/>
      </bottom>
      <diagonal/>
    </border>
    <border>
      <left style="thin">
        <color indexed="64"/>
      </left>
      <right style="medium">
        <color theme="2" tint="-0.499984740745262"/>
      </right>
      <top style="medium">
        <color theme="2" tint="-0.499984740745262"/>
      </top>
      <bottom style="thin">
        <color indexed="64"/>
      </bottom>
      <diagonal/>
    </border>
    <border>
      <left style="medium">
        <color theme="2" tint="-0.499984740745262"/>
      </left>
      <right style="thin">
        <color indexed="64"/>
      </right>
      <top style="thin">
        <color indexed="64"/>
      </top>
      <bottom style="thin">
        <color indexed="64"/>
      </bottom>
      <diagonal/>
    </border>
    <border>
      <left style="thin">
        <color indexed="64"/>
      </left>
      <right style="medium">
        <color theme="2" tint="-0.499984740745262"/>
      </right>
      <top style="thin">
        <color indexed="64"/>
      </top>
      <bottom style="thin">
        <color indexed="64"/>
      </bottom>
      <diagonal/>
    </border>
    <border>
      <left style="medium">
        <color theme="2" tint="-0.499984740745262"/>
      </left>
      <right style="thin">
        <color indexed="64"/>
      </right>
      <top style="thin">
        <color indexed="64"/>
      </top>
      <bottom style="medium">
        <color theme="2" tint="-0.499984740745262"/>
      </bottom>
      <diagonal/>
    </border>
    <border>
      <left style="thin">
        <color indexed="64"/>
      </left>
      <right style="thin">
        <color indexed="64"/>
      </right>
      <top style="thin">
        <color indexed="64"/>
      </top>
      <bottom style="medium">
        <color theme="2" tint="-0.499984740745262"/>
      </bottom>
      <diagonal/>
    </border>
    <border>
      <left style="thin">
        <color indexed="64"/>
      </left>
      <right style="medium">
        <color theme="2" tint="-0.499984740745262"/>
      </right>
      <top style="thin">
        <color indexed="64"/>
      </top>
      <bottom style="medium">
        <color theme="2" tint="-0.499984740745262"/>
      </bottom>
      <diagonal/>
    </border>
    <border>
      <left style="thin">
        <color indexed="64"/>
      </left>
      <right style="thin">
        <color indexed="64"/>
      </right>
      <top style="medium">
        <color theme="2" tint="-0.499984740745262"/>
      </top>
      <bottom/>
      <diagonal/>
    </border>
    <border>
      <left style="thin">
        <color indexed="64"/>
      </left>
      <right/>
      <top style="thin">
        <color indexed="64"/>
      </top>
      <bottom style="medium">
        <color theme="2" tint="-0.499984740745262"/>
      </bottom>
      <diagonal/>
    </border>
    <border>
      <left style="thin">
        <color indexed="64"/>
      </left>
      <right style="medium">
        <color theme="2" tint="-0.499984740745262"/>
      </right>
      <top style="medium">
        <color theme="2" tint="-0.499984740745262"/>
      </top>
      <bottom/>
      <diagonal/>
    </border>
    <border>
      <left style="medium">
        <color theme="2" tint="-0.499984740745262"/>
      </left>
      <right style="thin">
        <color indexed="64"/>
      </right>
      <top style="medium">
        <color theme="2" tint="-0.499984740745262"/>
      </top>
      <bottom style="medium">
        <color theme="2" tint="-0.499984740745262"/>
      </bottom>
      <diagonal/>
    </border>
    <border>
      <left style="thin">
        <color indexed="64"/>
      </left>
      <right style="thin">
        <color indexed="64"/>
      </right>
      <top style="medium">
        <color theme="2" tint="-0.499984740745262"/>
      </top>
      <bottom style="medium">
        <color theme="2" tint="-0.499984740745262"/>
      </bottom>
      <diagonal/>
    </border>
    <border>
      <left style="thin">
        <color indexed="64"/>
      </left>
      <right style="medium">
        <color theme="2" tint="-0.499984740745262"/>
      </right>
      <top style="medium">
        <color theme="2" tint="-0.499984740745262"/>
      </top>
      <bottom style="medium">
        <color theme="2" tint="-0.499984740745262"/>
      </bottom>
      <diagonal/>
    </border>
    <border>
      <left style="medium">
        <color theme="2" tint="-0.499984740745262"/>
      </left>
      <right style="thin">
        <color indexed="64"/>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style="medium">
        <color theme="2" tint="-0.499984740745262"/>
      </left>
      <right/>
      <top style="thin">
        <color theme="2" tint="-0.499984740745262"/>
      </top>
      <bottom style="double">
        <color theme="2" tint="-0.499984740745262"/>
      </bottom>
      <diagonal/>
    </border>
    <border>
      <left style="thin">
        <color theme="2" tint="-0.499984740745262"/>
      </left>
      <right style="thin">
        <color theme="2" tint="-0.499984740745262"/>
      </right>
      <top style="thin">
        <color theme="2" tint="-0.499984740745262"/>
      </top>
      <bottom style="double">
        <color theme="2" tint="-0.499984740745262"/>
      </bottom>
      <diagonal/>
    </border>
    <border>
      <left/>
      <right/>
      <top style="thin">
        <color theme="2" tint="-0.499984740745262"/>
      </top>
      <bottom style="thin">
        <color theme="2" tint="-0.499984740745262"/>
      </bottom>
      <diagonal/>
    </border>
    <border>
      <left style="medium">
        <color theme="1" tint="0.34998626667073579"/>
      </left>
      <right style="medium">
        <color theme="1" tint="0.34998626667073579"/>
      </right>
      <top style="medium">
        <color theme="1" tint="0.34998626667073579"/>
      </top>
      <bottom style="medium">
        <color theme="1" tint="0.34998626667073579"/>
      </bottom>
      <diagonal/>
    </border>
    <border>
      <left style="medium">
        <color theme="1" tint="0.34998626667073579"/>
      </left>
      <right style="thin">
        <color theme="2" tint="-0.499984740745262"/>
      </right>
      <top style="medium">
        <color theme="1" tint="0.34998626667073579"/>
      </top>
      <bottom style="thin">
        <color theme="2" tint="-0.499984740745262"/>
      </bottom>
      <diagonal/>
    </border>
    <border>
      <left style="thin">
        <color theme="2" tint="-0.499984740745262"/>
      </left>
      <right style="medium">
        <color theme="1" tint="0.34998626667073579"/>
      </right>
      <top style="medium">
        <color theme="1" tint="0.34998626667073579"/>
      </top>
      <bottom style="thin">
        <color theme="2" tint="-0.499984740745262"/>
      </bottom>
      <diagonal/>
    </border>
    <border>
      <left style="medium">
        <color theme="1" tint="0.34998626667073579"/>
      </left>
      <right style="thin">
        <color theme="2" tint="-0.499984740745262"/>
      </right>
      <top style="thin">
        <color theme="2" tint="-0.499984740745262"/>
      </top>
      <bottom style="thin">
        <color theme="2" tint="-0.499984740745262"/>
      </bottom>
      <diagonal/>
    </border>
    <border>
      <left style="thin">
        <color theme="2" tint="-0.499984740745262"/>
      </left>
      <right style="medium">
        <color theme="1" tint="0.34998626667073579"/>
      </right>
      <top style="thin">
        <color theme="2" tint="-0.499984740745262"/>
      </top>
      <bottom style="thin">
        <color theme="2" tint="-0.499984740745262"/>
      </bottom>
      <diagonal/>
    </border>
    <border>
      <left style="medium">
        <color theme="1" tint="0.34998626667073579"/>
      </left>
      <right style="thin">
        <color theme="2" tint="-0.499984740745262"/>
      </right>
      <top style="thin">
        <color theme="2" tint="-0.499984740745262"/>
      </top>
      <bottom style="medium">
        <color theme="1" tint="0.34998626667073579"/>
      </bottom>
      <diagonal/>
    </border>
    <border>
      <left style="thin">
        <color theme="2" tint="-0.499984740745262"/>
      </left>
      <right style="medium">
        <color theme="1" tint="0.34998626667073579"/>
      </right>
      <top style="thin">
        <color theme="2" tint="-0.499984740745262"/>
      </top>
      <bottom style="medium">
        <color theme="1" tint="0.34998626667073579"/>
      </bottom>
      <diagonal/>
    </border>
    <border>
      <left style="medium">
        <color theme="1" tint="0.34998626667073579"/>
      </left>
      <right/>
      <top style="medium">
        <color theme="1" tint="0.34998626667073579"/>
      </top>
      <bottom style="thin">
        <color theme="2" tint="-0.499984740745262"/>
      </bottom>
      <diagonal/>
    </border>
    <border>
      <left style="medium">
        <color theme="1" tint="0.34998626667073579"/>
      </left>
      <right/>
      <top style="thin">
        <color theme="2" tint="-0.499984740745262"/>
      </top>
      <bottom style="thin">
        <color theme="2" tint="-0.499984740745262"/>
      </bottom>
      <diagonal/>
    </border>
    <border>
      <left style="medium">
        <color theme="1" tint="0.34998626667073579"/>
      </left>
      <right/>
      <top style="thin">
        <color theme="2" tint="-0.499984740745262"/>
      </top>
      <bottom style="medium">
        <color theme="1" tint="0.34998626667073579"/>
      </bottom>
      <diagonal/>
    </border>
    <border>
      <left/>
      <right/>
      <top style="medium">
        <color theme="1" tint="0.34998626667073579"/>
      </top>
      <bottom style="thin">
        <color theme="2" tint="-0.499984740745262"/>
      </bottom>
      <diagonal/>
    </border>
    <border>
      <left/>
      <right/>
      <top style="thin">
        <color theme="2" tint="-0.499984740745262"/>
      </top>
      <bottom style="medium">
        <color theme="1" tint="0.34998626667073579"/>
      </bottom>
      <diagonal/>
    </border>
    <border>
      <left style="medium">
        <color theme="1" tint="0.34998626667073579"/>
      </left>
      <right style="medium">
        <color theme="1" tint="0.34998626667073579"/>
      </right>
      <top style="medium">
        <color theme="1" tint="0.34998626667073579"/>
      </top>
      <bottom style="thin">
        <color theme="2" tint="-0.499984740745262"/>
      </bottom>
      <diagonal/>
    </border>
    <border>
      <left style="medium">
        <color theme="1" tint="0.34998626667073579"/>
      </left>
      <right style="medium">
        <color theme="1" tint="0.34998626667073579"/>
      </right>
      <top style="thin">
        <color theme="2" tint="-0.499984740745262"/>
      </top>
      <bottom style="thin">
        <color theme="2" tint="-0.499984740745262"/>
      </bottom>
      <diagonal/>
    </border>
    <border>
      <left style="medium">
        <color theme="1" tint="0.34998626667073579"/>
      </left>
      <right style="medium">
        <color theme="1" tint="0.34998626667073579"/>
      </right>
      <top style="thin">
        <color theme="2" tint="-0.499984740745262"/>
      </top>
      <bottom style="medium">
        <color theme="1" tint="0.34998626667073579"/>
      </bottom>
      <diagonal/>
    </border>
    <border>
      <left style="thin">
        <color theme="2" tint="-0.499984740745262"/>
      </left>
      <right style="medium">
        <color theme="1" tint="0.34998626667073579"/>
      </right>
      <top style="medium">
        <color theme="1" tint="0.34998626667073579"/>
      </top>
      <bottom style="medium">
        <color theme="1" tint="0.34998626667073579"/>
      </bottom>
      <diagonal/>
    </border>
    <border>
      <left/>
      <right style="thin">
        <color theme="2" tint="-0.499984740745262"/>
      </right>
      <top style="medium">
        <color theme="1" tint="0.34998626667073579"/>
      </top>
      <bottom style="medium">
        <color theme="1" tint="0.34998626667073579"/>
      </bottom>
      <diagonal/>
    </border>
    <border>
      <left style="thin">
        <color theme="2" tint="-0.499984740745262"/>
      </left>
      <right style="thin">
        <color theme="2" tint="-0.499984740745262"/>
      </right>
      <top style="medium">
        <color theme="1" tint="0.34998626667073579"/>
      </top>
      <bottom style="thin">
        <color theme="2" tint="-0.499984740745262"/>
      </bottom>
      <diagonal/>
    </border>
    <border>
      <left/>
      <right style="medium">
        <color theme="1" tint="0.34998626667073579"/>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1" tint="0.34998626667073579"/>
      </bottom>
      <diagonal/>
    </border>
    <border>
      <left/>
      <right style="thin">
        <color theme="2" tint="-0.499984740745262"/>
      </right>
      <top style="medium">
        <color theme="1" tint="0.34998626667073579"/>
      </top>
      <bottom style="thin">
        <color theme="2" tint="-0.499984740745262"/>
      </bottom>
      <diagonal/>
    </border>
    <border>
      <left/>
      <right style="thin">
        <color theme="2" tint="-0.499984740745262"/>
      </right>
      <top style="thin">
        <color theme="2" tint="-0.499984740745262"/>
      </top>
      <bottom style="medium">
        <color theme="1" tint="0.34998626667073579"/>
      </bottom>
      <diagonal/>
    </border>
    <border>
      <left style="medium">
        <color theme="2" tint="-0.499984740745262"/>
      </left>
      <right style="thin">
        <color theme="2" tint="-0.499984740745262"/>
      </right>
      <top style="medium">
        <color theme="1" tint="0.34998626667073579"/>
      </top>
      <bottom style="medium">
        <color theme="2" tint="-0.499984740745262"/>
      </bottom>
      <diagonal/>
    </border>
    <border>
      <left style="thin">
        <color theme="2" tint="-0.499984740745262"/>
      </left>
      <right style="medium">
        <color theme="1" tint="0.34998626667073579"/>
      </right>
      <top style="medium">
        <color theme="2" tint="-0.499984740745262"/>
      </top>
      <bottom style="hair">
        <color theme="2" tint="-0.499984740745262"/>
      </bottom>
      <diagonal/>
    </border>
    <border>
      <left style="thin">
        <color theme="2" tint="-0.499984740745262"/>
      </left>
      <right style="medium">
        <color theme="1" tint="0.34998626667073579"/>
      </right>
      <top/>
      <bottom style="medium">
        <color theme="2" tint="-0.499984740745262"/>
      </bottom>
      <diagonal/>
    </border>
    <border>
      <left style="thin">
        <color theme="2" tint="-0.499984740745262"/>
      </left>
      <right style="medium">
        <color theme="1" tint="0.34998626667073579"/>
      </right>
      <top/>
      <bottom/>
      <diagonal/>
    </border>
    <border>
      <left style="thin">
        <color theme="2" tint="-0.499984740745262"/>
      </left>
      <right style="thin">
        <color theme="2" tint="-0.499984740745262"/>
      </right>
      <top/>
      <bottom style="medium">
        <color theme="1" tint="0.34998626667073579"/>
      </bottom>
      <diagonal/>
    </border>
    <border>
      <left style="thin">
        <color theme="2" tint="-0.499984740745262"/>
      </left>
      <right style="medium">
        <color theme="1" tint="0.34998626667073579"/>
      </right>
      <top/>
      <bottom style="medium">
        <color theme="1" tint="0.34998626667073579"/>
      </bottom>
      <diagonal/>
    </border>
    <border>
      <left style="thin">
        <color theme="2" tint="-0.499984740745262"/>
      </left>
      <right style="thin">
        <color theme="2" tint="-0.499984740745262"/>
      </right>
      <top style="medium">
        <color theme="1" tint="0.34998626667073579"/>
      </top>
      <bottom/>
      <diagonal/>
    </border>
    <border>
      <left style="thin">
        <color theme="2" tint="-0.499984740745262"/>
      </left>
      <right style="medium">
        <color theme="1" tint="0.34998626667073579"/>
      </right>
      <top style="medium">
        <color theme="1" tint="0.34998626667073579"/>
      </top>
      <bottom/>
      <diagonal/>
    </border>
    <border>
      <left style="medium">
        <color theme="2" tint="-0.499984740745262"/>
      </left>
      <right/>
      <top/>
      <bottom style="medium">
        <color theme="1" tint="0.34998626667073579"/>
      </bottom>
      <diagonal/>
    </border>
    <border>
      <left style="medium">
        <color theme="2" tint="-0.499984740745262"/>
      </left>
      <right style="thin">
        <color theme="2" tint="-0.499984740745262"/>
      </right>
      <top/>
      <bottom style="medium">
        <color theme="1" tint="0.34998626667073579"/>
      </bottom>
      <diagonal/>
    </border>
    <border>
      <left/>
      <right/>
      <top/>
      <bottom style="medium">
        <color theme="1" tint="0.34998626667073579"/>
      </bottom>
      <diagonal/>
    </border>
    <border>
      <left style="medium">
        <color theme="1" tint="0.34998626667073579"/>
      </left>
      <right style="thin">
        <color theme="2" tint="-0.499984740745262"/>
      </right>
      <top style="medium">
        <color theme="1" tint="0.34998626667073579"/>
      </top>
      <bottom/>
      <diagonal/>
    </border>
    <border>
      <left style="medium">
        <color theme="1" tint="0.34998626667073579"/>
      </left>
      <right style="thin">
        <color theme="2" tint="-0.499984740745262"/>
      </right>
      <top style="thin">
        <color theme="2" tint="-0.499984740745262"/>
      </top>
      <bottom style="double">
        <color theme="2" tint="-0.499984740745262"/>
      </bottom>
      <diagonal/>
    </border>
    <border>
      <left style="medium">
        <color theme="1" tint="0.34998626667073579"/>
      </left>
      <right style="thin">
        <color theme="2" tint="-0.499984740745262"/>
      </right>
      <top/>
      <bottom style="medium">
        <color theme="1" tint="0.34998626667073579"/>
      </bottom>
      <diagonal/>
    </border>
    <border>
      <left style="thin">
        <color theme="2" tint="-0.499984740745262"/>
      </left>
      <right/>
      <top style="medium">
        <color theme="1" tint="0.34998626667073579"/>
      </top>
      <bottom style="thin">
        <color theme="2" tint="-0.499984740745262"/>
      </bottom>
      <diagonal/>
    </border>
    <border>
      <left style="medium">
        <color theme="2" tint="-0.499984740745262"/>
      </left>
      <right/>
      <top style="medium">
        <color theme="1" tint="0.34998626667073579"/>
      </top>
      <bottom/>
      <diagonal/>
    </border>
    <border>
      <left/>
      <right/>
      <top style="medium">
        <color theme="1" tint="0.34998626667073579"/>
      </top>
      <bottom/>
      <diagonal/>
    </border>
    <border>
      <left/>
      <right style="medium">
        <color theme="1" tint="0.34998626667073579"/>
      </right>
      <top style="medium">
        <color theme="1" tint="0.34998626667073579"/>
      </top>
      <bottom/>
      <diagonal/>
    </border>
    <border>
      <left/>
      <right style="medium">
        <color theme="1" tint="0.34998626667073579"/>
      </right>
      <top/>
      <bottom style="medium">
        <color theme="1" tint="0.34998626667073579"/>
      </bottom>
      <diagonal/>
    </border>
    <border>
      <left/>
      <right style="medium">
        <color theme="1" tint="0.34998626667073579"/>
      </right>
      <top/>
      <bottom/>
      <diagonal/>
    </border>
    <border>
      <left style="thin">
        <color theme="2" tint="-0.499984740745262"/>
      </left>
      <right/>
      <top/>
      <bottom style="medium">
        <color theme="1" tint="0.34998626667073579"/>
      </bottom>
      <diagonal/>
    </border>
    <border>
      <left style="thin">
        <color theme="2" tint="-0.499984740745262"/>
      </left>
      <right/>
      <top style="thin">
        <color theme="2" tint="-0.499984740745262"/>
      </top>
      <bottom style="double">
        <color theme="2" tint="-0.499984740745262"/>
      </bottom>
      <diagonal/>
    </border>
    <border>
      <left style="medium">
        <color theme="1" tint="0.34998626667073579"/>
      </left>
      <right style="thin">
        <color theme="2" tint="-0.499984740745262"/>
      </right>
      <top style="medium">
        <color theme="2" tint="-0.499984740745262"/>
      </top>
      <bottom style="hair">
        <color theme="2" tint="-0.499984740745262"/>
      </bottom>
      <diagonal/>
    </border>
    <border>
      <left style="medium">
        <color theme="1" tint="0.34998626667073579"/>
      </left>
      <right style="thin">
        <color theme="2" tint="-0.499984740745262"/>
      </right>
      <top/>
      <bottom style="medium">
        <color theme="2" tint="-0.499984740745262"/>
      </bottom>
      <diagonal/>
    </border>
    <border>
      <left style="medium">
        <color theme="1" tint="0.34998626667073579"/>
      </left>
      <right style="thin">
        <color theme="2" tint="-0.499984740745262"/>
      </right>
      <top/>
      <bottom/>
      <diagonal/>
    </border>
    <border>
      <left style="medium">
        <color theme="1" tint="0.34998626667073579"/>
      </left>
      <right style="thin">
        <color theme="2" tint="-0.499984740745262"/>
      </right>
      <top style="medium">
        <color theme="1" tint="0.34998626667073579"/>
      </top>
      <bottom style="double">
        <color theme="1" tint="0.34998626667073579"/>
      </bottom>
      <diagonal/>
    </border>
    <border>
      <left style="thin">
        <color theme="2" tint="-0.499984740745262"/>
      </left>
      <right style="medium">
        <color theme="2" tint="-0.499984740745262"/>
      </right>
      <top style="medium">
        <color theme="1" tint="0.34998626667073579"/>
      </top>
      <bottom style="double">
        <color theme="1" tint="0.34998626667073579"/>
      </bottom>
      <diagonal/>
    </border>
    <border>
      <left style="thin">
        <color theme="2" tint="-0.499984740745262"/>
      </left>
      <right/>
      <top style="medium">
        <color theme="1" tint="0.34998626667073579"/>
      </top>
      <bottom/>
      <diagonal/>
    </border>
    <border>
      <left/>
      <right style="thin">
        <color theme="2" tint="-0.499984740745262"/>
      </right>
      <top style="thin">
        <color theme="2" tint="-0.499984740745262"/>
      </top>
      <bottom/>
      <diagonal/>
    </border>
    <border>
      <left style="thin">
        <color theme="2" tint="-0.499984740745262"/>
      </left>
      <right/>
      <top style="thin">
        <color theme="2" tint="-0.499984740745262"/>
      </top>
      <bottom/>
      <diagonal/>
    </border>
    <border>
      <left style="medium">
        <color theme="2" tint="-0.499984740745262"/>
      </left>
      <right style="thin">
        <color theme="2" tint="-0.499984740745262"/>
      </right>
      <top/>
      <bottom style="double">
        <color indexed="64"/>
      </bottom>
      <diagonal/>
    </border>
    <border>
      <left style="thin">
        <color theme="2" tint="-0.499984740745262"/>
      </left>
      <right style="medium">
        <color theme="2" tint="-0.499984740745262"/>
      </right>
      <top/>
      <bottom style="double">
        <color indexed="64"/>
      </bottom>
      <diagonal/>
    </border>
    <border>
      <left style="medium">
        <color theme="1" tint="0.34998626667073579"/>
      </left>
      <right/>
      <top/>
      <bottom/>
      <diagonal/>
    </border>
    <border>
      <left style="thin">
        <color theme="2" tint="-0.499984740745262"/>
      </left>
      <right style="medium">
        <color theme="1" tint="0.34998626667073579"/>
      </right>
      <top/>
      <bottom style="thin">
        <color theme="2" tint="-0.499984740745262"/>
      </bottom>
      <diagonal/>
    </border>
    <border>
      <left style="medium">
        <color theme="1" tint="0.34998626667073579"/>
      </left>
      <right style="thin">
        <color theme="2" tint="-0.499984740745262"/>
      </right>
      <top/>
      <bottom style="thin">
        <color theme="2" tint="-0.499984740745262"/>
      </bottom>
      <diagonal/>
    </border>
    <border>
      <left style="medium">
        <color theme="1" tint="0.34998626667073579"/>
      </left>
      <right style="thin">
        <color theme="2" tint="-0.499984740745262"/>
      </right>
      <top style="medium">
        <color theme="1" tint="0.34998626667073579"/>
      </top>
      <bottom style="thin">
        <color theme="1" tint="0.34998626667073579"/>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top style="hair">
        <color theme="1" tint="0.34998626667073579"/>
      </top>
      <bottom style="hair">
        <color theme="1" tint="0.34998626667073579"/>
      </bottom>
      <diagonal/>
    </border>
    <border>
      <left style="medium">
        <color theme="1" tint="0.34998626667073579"/>
      </left>
      <right style="medium">
        <color theme="1" tint="0.34998626667073579"/>
      </right>
      <top/>
      <bottom style="thin">
        <color theme="2" tint="-0.499984740745262"/>
      </bottom>
      <diagonal/>
    </border>
    <border>
      <left/>
      <right/>
      <top style="medium">
        <color theme="1" tint="0.34998626667073579"/>
      </top>
      <bottom style="medium">
        <color theme="2" tint="-0.499984740745262"/>
      </bottom>
      <diagonal/>
    </border>
    <border>
      <left/>
      <right/>
      <top style="thin">
        <color theme="2" tint="-0.499984740745262"/>
      </top>
      <bottom style="double">
        <color theme="2" tint="-0.499984740745262"/>
      </bottom>
      <diagonal/>
    </border>
    <border>
      <left/>
      <right/>
      <top style="medium">
        <color theme="1" tint="0.34998626667073579"/>
      </top>
      <bottom style="double">
        <color theme="1" tint="0.34998626667073579"/>
      </bottom>
      <diagonal/>
    </border>
    <border>
      <left style="medium">
        <color theme="1" tint="0.34998626667073579"/>
      </left>
      <right style="thin">
        <color theme="2" tint="-0.499984740745262"/>
      </right>
      <top style="thin">
        <color theme="2" tint="-0.499984740745262"/>
      </top>
      <bottom style="thin">
        <color theme="1" tint="0.34998626667073579"/>
      </bottom>
      <diagonal/>
    </border>
    <border>
      <left style="medium">
        <color theme="1" tint="0.34998626667073579"/>
      </left>
      <right style="thin">
        <color theme="1" tint="0.34998626667073579"/>
      </right>
      <top/>
      <bottom style="medium">
        <color theme="1" tint="0.34998626667073579"/>
      </bottom>
      <diagonal/>
    </border>
    <border>
      <left style="thin">
        <color theme="2" tint="-0.499984740745262"/>
      </left>
      <right style="medium">
        <color theme="1" tint="0.34998626667073579"/>
      </right>
      <top style="thin">
        <color theme="2" tint="-0.499984740745262"/>
      </top>
      <bottom style="thin">
        <color theme="1" tint="0.34998626667073579"/>
      </bottom>
      <diagonal/>
    </border>
    <border>
      <left style="medium">
        <color theme="1" tint="0.34998626667073579"/>
      </left>
      <right style="thin">
        <color theme="1" tint="0.34998626667073579"/>
      </right>
      <top/>
      <bottom style="thin">
        <color theme="1" tint="0.34998626667073579"/>
      </bottom>
      <diagonal/>
    </border>
    <border>
      <left/>
      <right style="medium">
        <color theme="1" tint="0.34998626667073579"/>
      </right>
      <top/>
      <bottom style="thin">
        <color theme="1" tint="0.34998626667073579"/>
      </bottom>
      <diagonal/>
    </border>
    <border>
      <left style="medium">
        <color theme="1" tint="0.34998626667073579"/>
      </left>
      <right/>
      <top style="thin">
        <color theme="2" tint="-0.499984740745262"/>
      </top>
      <bottom style="thin">
        <color theme="1" tint="0.34998626667073579"/>
      </bottom>
      <diagonal/>
    </border>
    <border>
      <left/>
      <right style="medium">
        <color theme="1" tint="0.34998626667073579"/>
      </right>
      <top style="thin">
        <color theme="2" tint="-0.499984740745262"/>
      </top>
      <bottom style="thin">
        <color theme="1" tint="0.34998626667073579"/>
      </bottom>
      <diagonal/>
    </border>
    <border>
      <left style="medium">
        <color theme="1" tint="0.34998626667073579"/>
      </left>
      <right/>
      <top style="medium">
        <color theme="2" tint="-0.499984740745262"/>
      </top>
      <bottom/>
      <diagonal/>
    </border>
    <border>
      <left style="medium">
        <color theme="1" tint="0.34998626667073579"/>
      </left>
      <right/>
      <top/>
      <bottom style="medium">
        <color theme="2" tint="-0.499984740745262"/>
      </bottom>
      <diagonal/>
    </border>
    <border>
      <left style="medium">
        <color theme="1" tint="0.34998626667073579"/>
      </left>
      <right/>
      <top/>
      <bottom style="medium">
        <color theme="1" tint="0.34998626667073579"/>
      </bottom>
      <diagonal/>
    </border>
    <border>
      <left style="medium">
        <color theme="1" tint="0.34998626667073579"/>
      </left>
      <right style="thin">
        <color theme="1" tint="0.34998626667073579"/>
      </right>
      <top style="medium">
        <color theme="1" tint="0.34998626667073579"/>
      </top>
      <bottom style="medium">
        <color theme="2" tint="-0.499984740745262"/>
      </bottom>
      <diagonal/>
    </border>
    <border>
      <left style="thin">
        <color theme="1" tint="0.34998626667073579"/>
      </left>
      <right style="medium">
        <color theme="1" tint="0.34998626667073579"/>
      </right>
      <top style="medium">
        <color theme="1" tint="0.34998626667073579"/>
      </top>
      <bottom style="medium">
        <color theme="2" tint="-0.499984740745262"/>
      </bottom>
      <diagonal/>
    </border>
    <border>
      <left style="medium">
        <color theme="1" tint="0.34998626667073579"/>
      </left>
      <right/>
      <top style="thin">
        <color theme="2" tint="-0.499984740745262"/>
      </top>
      <bottom style="double">
        <color theme="2" tint="-0.499984740745262"/>
      </bottom>
      <diagonal/>
    </border>
    <border>
      <left/>
      <right style="medium">
        <color theme="1" tint="0.34998626667073579"/>
      </right>
      <top style="thin">
        <color theme="2" tint="-0.499984740745262"/>
      </top>
      <bottom style="double">
        <color theme="2" tint="-0.499984740745262"/>
      </bottom>
      <diagonal/>
    </border>
    <border>
      <left style="medium">
        <color theme="1" tint="0.34998626667073579"/>
      </left>
      <right/>
      <top style="medium">
        <color theme="1" tint="0.34998626667073579"/>
      </top>
      <bottom/>
      <diagonal/>
    </border>
    <border>
      <left style="medium">
        <color theme="1" tint="0.34998626667073579"/>
      </left>
      <right style="medium">
        <color theme="1" tint="0.34998626667073579"/>
      </right>
      <top style="medium">
        <color theme="1" tint="0.34998626667073579"/>
      </top>
      <bottom/>
      <diagonal/>
    </border>
    <border>
      <left style="medium">
        <color theme="1" tint="0.34998626667073579"/>
      </left>
      <right style="medium">
        <color theme="1" tint="0.34998626667073579"/>
      </right>
      <top/>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4" fillId="0" borderId="0" applyNumberFormat="0" applyFill="0" applyBorder="0" applyAlignment="0" applyProtection="0"/>
    <xf numFmtId="0" fontId="5" fillId="0" borderId="0"/>
    <xf numFmtId="9" fontId="5" fillId="0" borderId="0" applyFont="0" applyFill="0" applyBorder="0" applyAlignment="0" applyProtection="0"/>
    <xf numFmtId="0" fontId="3" fillId="16" borderId="0" applyNumberFormat="0" applyBorder="0" applyAlignment="0" applyProtection="0"/>
    <xf numFmtId="0" fontId="1" fillId="17" borderId="0" applyNumberFormat="0" applyBorder="0" applyAlignment="0" applyProtection="0"/>
    <xf numFmtId="0" fontId="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cellStyleXfs>
  <cellXfs count="713">
    <xf numFmtId="0" fontId="0" fillId="0" borderId="0" xfId="0"/>
    <xf numFmtId="0" fontId="2" fillId="0" borderId="0" xfId="0" applyFont="1" applyAlignment="1">
      <alignment horizontal="center"/>
    </xf>
    <xf numFmtId="0" fontId="0" fillId="0" borderId="0" xfId="0" applyBorder="1" applyAlignment="1">
      <alignment horizontal="center"/>
    </xf>
    <xf numFmtId="0" fontId="0" fillId="0" borderId="0" xfId="0" applyAlignment="1">
      <alignment horizontal="center" vertical="center"/>
    </xf>
    <xf numFmtId="0" fontId="0" fillId="0" borderId="0" xfId="0" applyBorder="1" applyAlignment="1">
      <alignment horizontal="center" vertical="center"/>
    </xf>
    <xf numFmtId="0" fontId="2" fillId="0" borderId="0" xfId="0" applyFont="1" applyBorder="1" applyAlignment="1">
      <alignment horizontal="center"/>
    </xf>
    <xf numFmtId="164" fontId="0" fillId="0" borderId="0" xfId="1" applyNumberFormat="1" applyFont="1"/>
    <xf numFmtId="0" fontId="0" fillId="0" borderId="24" xfId="0" applyBorder="1" applyAlignment="1">
      <alignment horizontal="center" vertical="center"/>
    </xf>
    <xf numFmtId="169" fontId="0" fillId="0" borderId="6" xfId="1" applyNumberFormat="1" applyFont="1" applyBorder="1" applyAlignment="1">
      <alignment horizontal="center" vertical="center"/>
    </xf>
    <xf numFmtId="165" fontId="0" fillId="0" borderId="6" xfId="3" applyNumberFormat="1" applyFont="1" applyBorder="1" applyAlignment="1">
      <alignment horizontal="center" vertical="center"/>
    </xf>
    <xf numFmtId="0" fontId="0" fillId="0" borderId="0" xfId="0" applyAlignment="1">
      <alignment horizontal="center"/>
    </xf>
    <xf numFmtId="44" fontId="0" fillId="0" borderId="0" xfId="3" applyFont="1" applyAlignment="1">
      <alignment horizontal="center"/>
    </xf>
    <xf numFmtId="164" fontId="0" fillId="0" borderId="8" xfId="1" applyNumberFormat="1" applyFont="1" applyBorder="1" applyAlignment="1">
      <alignment horizontal="center" vertical="center"/>
    </xf>
    <xf numFmtId="164" fontId="0" fillId="0" borderId="9" xfId="1" applyNumberFormat="1" applyFont="1" applyBorder="1" applyAlignment="1">
      <alignment horizontal="center" vertical="center"/>
    </xf>
    <xf numFmtId="164" fontId="0" fillId="0" borderId="10" xfId="1" applyNumberFormat="1" applyFont="1" applyBorder="1" applyAlignment="1">
      <alignment horizontal="center" vertical="center"/>
    </xf>
    <xf numFmtId="164" fontId="0" fillId="0" borderId="6" xfId="1" applyNumberFormat="1" applyFont="1" applyBorder="1" applyAlignment="1">
      <alignment horizontal="center" vertical="center"/>
    </xf>
    <xf numFmtId="164" fontId="0" fillId="0" borderId="1" xfId="1" applyNumberFormat="1" applyFont="1" applyBorder="1" applyAlignment="1">
      <alignment horizontal="center" vertical="center"/>
    </xf>
    <xf numFmtId="164" fontId="0" fillId="0" borderId="7" xfId="1" applyNumberFormat="1" applyFont="1" applyBorder="1" applyAlignment="1">
      <alignment horizontal="center" vertical="center"/>
    </xf>
    <xf numFmtId="0" fontId="4" fillId="0" borderId="0" xfId="4"/>
    <xf numFmtId="171" fontId="6" fillId="0" borderId="0" xfId="5" applyNumberFormat="1" applyFont="1"/>
    <xf numFmtId="171" fontId="6" fillId="0" borderId="0" xfId="5" applyNumberFormat="1" applyFont="1"/>
    <xf numFmtId="0" fontId="9" fillId="0" borderId="0" xfId="5" applyFont="1" applyBorder="1" applyAlignment="1">
      <alignment horizontal="center"/>
    </xf>
    <xf numFmtId="0" fontId="8" fillId="0" borderId="0" xfId="5" applyFont="1" applyBorder="1" applyAlignment="1">
      <alignment horizontal="center"/>
    </xf>
    <xf numFmtId="0" fontId="8" fillId="0" borderId="0" xfId="5" applyFont="1" applyBorder="1" applyAlignment="1" applyProtection="1">
      <alignment horizontal="center"/>
      <protection locked="0"/>
    </xf>
    <xf numFmtId="3" fontId="8" fillId="0" borderId="0" xfId="5" applyNumberFormat="1" applyFont="1" applyBorder="1" applyAlignment="1" applyProtection="1">
      <alignment horizontal="center"/>
      <protection locked="0"/>
    </xf>
    <xf numFmtId="3" fontId="9" fillId="0" borderId="0" xfId="0" applyNumberFormat="1" applyFont="1" applyBorder="1" applyAlignment="1" applyProtection="1">
      <alignment horizontal="left" indent="1"/>
      <protection locked="0"/>
    </xf>
    <xf numFmtId="0" fontId="9" fillId="0" borderId="0" xfId="0" applyFont="1" applyBorder="1"/>
    <xf numFmtId="3" fontId="9" fillId="0" borderId="0" xfId="0" applyNumberFormat="1" applyFont="1" applyBorder="1"/>
    <xf numFmtId="171" fontId="9" fillId="0" borderId="0" xfId="0" applyNumberFormat="1" applyFont="1" applyBorder="1"/>
    <xf numFmtId="171" fontId="7" fillId="0" borderId="0" xfId="0" applyNumberFormat="1" applyFont="1" applyBorder="1"/>
    <xf numFmtId="44" fontId="2" fillId="0" borderId="0" xfId="3" applyFont="1" applyAlignment="1">
      <alignment horizontal="center"/>
    </xf>
    <xf numFmtId="44" fontId="0" fillId="0" borderId="0" xfId="3" applyFont="1"/>
    <xf numFmtId="0" fontId="0" fillId="0" borderId="21" xfId="0" applyBorder="1"/>
    <xf numFmtId="44" fontId="0" fillId="0" borderId="21" xfId="3" applyFont="1" applyBorder="1"/>
    <xf numFmtId="44" fontId="0" fillId="0" borderId="0" xfId="0" applyNumberFormat="1"/>
    <xf numFmtId="0" fontId="2" fillId="0" borderId="0" xfId="0" applyFont="1"/>
    <xf numFmtId="0" fontId="10" fillId="12" borderId="29" xfId="0" applyFont="1" applyFill="1" applyBorder="1" applyAlignment="1">
      <alignment horizontal="left" vertical="center" wrapText="1"/>
    </xf>
    <xf numFmtId="8" fontId="10" fillId="12" borderId="29" xfId="0" applyNumberFormat="1" applyFont="1" applyFill="1" applyBorder="1" applyAlignment="1">
      <alignment horizontal="left" vertical="center" wrapText="1"/>
    </xf>
    <xf numFmtId="0" fontId="10" fillId="13" borderId="29" xfId="0" applyFont="1" applyFill="1" applyBorder="1" applyAlignment="1">
      <alignment horizontal="left" vertical="center" wrapText="1"/>
    </xf>
    <xf numFmtId="8" fontId="10" fillId="13" borderId="29" xfId="0" applyNumberFormat="1" applyFont="1" applyFill="1" applyBorder="1" applyAlignment="1">
      <alignment horizontal="left" vertical="center" wrapText="1"/>
    </xf>
    <xf numFmtId="164" fontId="6" fillId="0" borderId="0" xfId="1" applyNumberFormat="1" applyFont="1" applyAlignment="1">
      <alignment horizontal="center"/>
    </xf>
    <xf numFmtId="0" fontId="11" fillId="14" borderId="30" xfId="0" applyFont="1" applyFill="1" applyBorder="1" applyAlignment="1">
      <alignment horizontal="left" vertical="center" wrapText="1"/>
    </xf>
    <xf numFmtId="0" fontId="11" fillId="14" borderId="31" xfId="0" applyFont="1" applyFill="1" applyBorder="1" applyAlignment="1">
      <alignment horizontal="left" vertical="center" wrapText="1"/>
    </xf>
    <xf numFmtId="8" fontId="0" fillId="0" borderId="0" xfId="0" applyNumberFormat="1"/>
    <xf numFmtId="0" fontId="0" fillId="11" borderId="0" xfId="0" applyFill="1" applyAlignment="1">
      <alignment horizontal="center"/>
    </xf>
    <xf numFmtId="172" fontId="0" fillId="0" borderId="0" xfId="0" applyNumberFormat="1"/>
    <xf numFmtId="173" fontId="0" fillId="0" borderId="0" xfId="3" applyNumberFormat="1" applyFont="1" applyAlignment="1">
      <alignment horizontal="center"/>
    </xf>
    <xf numFmtId="0" fontId="10" fillId="12" borderId="32" xfId="0" applyFont="1" applyFill="1" applyBorder="1" applyAlignment="1">
      <alignment horizontal="left" vertical="center" wrapText="1"/>
    </xf>
    <xf numFmtId="0" fontId="2" fillId="15" borderId="27" xfId="0" applyFont="1" applyFill="1" applyBorder="1" applyAlignment="1">
      <alignment horizontal="center" vertical="center"/>
    </xf>
    <xf numFmtId="0" fontId="2" fillId="15" borderId="25" xfId="0" applyFont="1" applyFill="1" applyBorder="1" applyAlignment="1">
      <alignment horizontal="center" vertical="center"/>
    </xf>
    <xf numFmtId="0" fontId="2" fillId="15" borderId="26" xfId="0" applyFont="1" applyFill="1" applyBorder="1" applyAlignment="1">
      <alignment horizontal="center" vertical="center"/>
    </xf>
    <xf numFmtId="0" fontId="2" fillId="4" borderId="13" xfId="0" applyFont="1" applyFill="1" applyBorder="1" applyAlignment="1">
      <alignment horizontal="center" vertical="center"/>
    </xf>
    <xf numFmtId="0" fontId="2" fillId="4" borderId="14" xfId="0" applyFont="1" applyFill="1" applyBorder="1" applyAlignment="1">
      <alignment horizontal="center" vertical="center"/>
    </xf>
    <xf numFmtId="164" fontId="0" fillId="0" borderId="7" xfId="1" applyNumberFormat="1" applyFont="1" applyFill="1" applyBorder="1" applyAlignment="1">
      <alignment horizontal="center" vertical="center"/>
    </xf>
    <xf numFmtId="165" fontId="3" fillId="0" borderId="0" xfId="0" applyNumberFormat="1" applyFont="1" applyBorder="1" applyAlignment="1">
      <alignment horizontal="center" vertical="center"/>
    </xf>
    <xf numFmtId="0" fontId="2" fillId="2" borderId="12" xfId="0" applyFont="1" applyFill="1" applyBorder="1" applyAlignment="1">
      <alignment horizontal="center" vertical="center"/>
    </xf>
    <xf numFmtId="164" fontId="0" fillId="0" borderId="3" xfId="1" applyNumberFormat="1" applyFont="1" applyBorder="1" applyAlignment="1">
      <alignment horizontal="center" vertical="center"/>
    </xf>
    <xf numFmtId="164" fontId="0" fillId="0" borderId="6" xfId="1" applyNumberFormat="1" applyFont="1" applyFill="1" applyBorder="1" applyAlignment="1">
      <alignment horizontal="center" vertical="center"/>
    </xf>
    <xf numFmtId="43" fontId="3" fillId="0" borderId="0" xfId="1" applyFont="1" applyBorder="1" applyAlignment="1">
      <alignment horizontal="center" vertical="center"/>
    </xf>
    <xf numFmtId="0" fontId="2" fillId="4" borderId="12" xfId="0" applyFont="1" applyFill="1" applyBorder="1" applyAlignment="1">
      <alignment horizontal="center" vertical="center"/>
    </xf>
    <xf numFmtId="169" fontId="0" fillId="0" borderId="3" xfId="1" applyNumberFormat="1" applyFont="1" applyBorder="1" applyAlignment="1">
      <alignment horizontal="center" vertical="center"/>
    </xf>
    <xf numFmtId="169" fontId="0" fillId="0" borderId="6" xfId="1" applyNumberFormat="1" applyFont="1" applyFill="1" applyBorder="1" applyAlignment="1">
      <alignment horizontal="center" vertical="center"/>
    </xf>
    <xf numFmtId="169" fontId="0" fillId="0" borderId="8" xfId="1" applyNumberFormat="1" applyFont="1" applyBorder="1" applyAlignment="1">
      <alignment horizontal="center" vertical="center"/>
    </xf>
    <xf numFmtId="165" fontId="0" fillId="0" borderId="3" xfId="3" applyNumberFormat="1" applyFont="1" applyBorder="1" applyAlignment="1">
      <alignment horizontal="center" vertical="center"/>
    </xf>
    <xf numFmtId="165" fontId="0" fillId="0" borderId="6" xfId="3" applyNumberFormat="1" applyFont="1" applyFill="1" applyBorder="1" applyAlignment="1">
      <alignment horizontal="center" vertical="center"/>
    </xf>
    <xf numFmtId="165" fontId="0" fillId="0" borderId="8" xfId="3" applyNumberFormat="1" applyFont="1" applyBorder="1" applyAlignment="1">
      <alignment horizontal="center" vertical="center"/>
    </xf>
    <xf numFmtId="165" fontId="0" fillId="0" borderId="4" xfId="3" applyNumberFormat="1" applyFont="1" applyBorder="1" applyAlignment="1">
      <alignment horizontal="center" vertical="center"/>
    </xf>
    <xf numFmtId="165" fontId="0" fillId="0" borderId="7" xfId="3" applyNumberFormat="1" applyFont="1" applyBorder="1" applyAlignment="1">
      <alignment horizontal="center" vertical="center"/>
    </xf>
    <xf numFmtId="164" fontId="0" fillId="0" borderId="2" xfId="1" applyNumberFormat="1" applyFont="1" applyBorder="1" applyAlignment="1">
      <alignment horizontal="center" vertical="center"/>
    </xf>
    <xf numFmtId="164" fontId="0" fillId="0" borderId="4" xfId="1" applyNumberFormat="1" applyFont="1" applyBorder="1" applyAlignment="1">
      <alignment horizontal="center" vertical="center"/>
    </xf>
    <xf numFmtId="164" fontId="0" fillId="0" borderId="1" xfId="1" applyNumberFormat="1" applyFont="1" applyFill="1" applyBorder="1" applyAlignment="1">
      <alignment horizontal="center" vertical="center"/>
    </xf>
    <xf numFmtId="169" fontId="0" fillId="0" borderId="2" xfId="1" applyNumberFormat="1" applyFont="1" applyBorder="1" applyAlignment="1">
      <alignment horizontal="center" vertical="center"/>
    </xf>
    <xf numFmtId="169" fontId="0" fillId="0" borderId="4" xfId="1" applyNumberFormat="1" applyFont="1" applyBorder="1" applyAlignment="1">
      <alignment horizontal="center" vertical="center"/>
    </xf>
    <xf numFmtId="169" fontId="0" fillId="0" borderId="1" xfId="1" applyNumberFormat="1" applyFont="1" applyBorder="1" applyAlignment="1">
      <alignment horizontal="center" vertical="center"/>
    </xf>
    <xf numFmtId="169" fontId="0" fillId="0" borderId="7" xfId="1" applyNumberFormat="1" applyFont="1" applyBorder="1" applyAlignment="1">
      <alignment horizontal="center" vertical="center"/>
    </xf>
    <xf numFmtId="169" fontId="0" fillId="0" borderId="1" xfId="1" applyNumberFormat="1" applyFont="1" applyFill="1" applyBorder="1" applyAlignment="1">
      <alignment horizontal="center" vertical="center"/>
    </xf>
    <xf numFmtId="169" fontId="0" fillId="0" borderId="7" xfId="1" applyNumberFormat="1" applyFont="1" applyFill="1" applyBorder="1" applyAlignment="1">
      <alignment horizontal="center" vertical="center"/>
    </xf>
    <xf numFmtId="169" fontId="0" fillId="0" borderId="9" xfId="1" applyNumberFormat="1" applyFont="1" applyBorder="1" applyAlignment="1">
      <alignment horizontal="center" vertical="center"/>
    </xf>
    <xf numFmtId="169" fontId="0" fillId="0" borderId="10" xfId="1" applyNumberFormat="1" applyFont="1" applyBorder="1" applyAlignment="1">
      <alignment horizontal="center" vertical="center"/>
    </xf>
    <xf numFmtId="165" fontId="0" fillId="0" borderId="2" xfId="3" applyNumberFormat="1" applyFont="1" applyBorder="1" applyAlignment="1">
      <alignment horizontal="center" vertical="center"/>
    </xf>
    <xf numFmtId="165" fontId="0" fillId="0" borderId="1" xfId="3" applyNumberFormat="1" applyFont="1" applyBorder="1" applyAlignment="1">
      <alignment horizontal="center" vertical="center"/>
    </xf>
    <xf numFmtId="165" fontId="0" fillId="0" borderId="1" xfId="3" applyNumberFormat="1" applyFont="1" applyFill="1" applyBorder="1" applyAlignment="1">
      <alignment horizontal="center" vertical="center"/>
    </xf>
    <xf numFmtId="165" fontId="0" fillId="0" borderId="7" xfId="3" applyNumberFormat="1" applyFont="1" applyFill="1" applyBorder="1" applyAlignment="1">
      <alignment horizontal="center" vertical="center"/>
    </xf>
    <xf numFmtId="165" fontId="0" fillId="0" borderId="9" xfId="3" applyNumberFormat="1" applyFont="1" applyBorder="1" applyAlignment="1">
      <alignment horizontal="center" vertical="center"/>
    </xf>
    <xf numFmtId="165" fontId="0" fillId="0" borderId="10" xfId="3" applyNumberFormat="1" applyFont="1" applyBorder="1" applyAlignment="1">
      <alignment horizontal="center" vertical="center"/>
    </xf>
    <xf numFmtId="0" fontId="14" fillId="0" borderId="0" xfId="0" applyFont="1" applyFill="1" applyAlignment="1">
      <alignment horizontal="center" vertical="center" wrapText="1"/>
    </xf>
    <xf numFmtId="0" fontId="12" fillId="0" borderId="0" xfId="0" applyFont="1" applyAlignment="1">
      <alignment horizontal="center" vertical="center"/>
    </xf>
    <xf numFmtId="165" fontId="12" fillId="29" borderId="40" xfId="3" applyNumberFormat="1" applyFont="1" applyFill="1" applyBorder="1" applyAlignment="1">
      <alignment horizontal="center" vertical="center"/>
    </xf>
    <xf numFmtId="165" fontId="12" fillId="0" borderId="0" xfId="3" applyNumberFormat="1" applyFont="1" applyFill="1" applyBorder="1" applyAlignment="1">
      <alignment horizontal="center" vertical="center"/>
    </xf>
    <xf numFmtId="164" fontId="12" fillId="29" borderId="40" xfId="1" applyNumberFormat="1" applyFont="1" applyFill="1" applyBorder="1" applyAlignment="1">
      <alignment horizontal="center" vertical="center"/>
    </xf>
    <xf numFmtId="164" fontId="12" fillId="29" borderId="42"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70" fontId="12" fillId="29" borderId="42" xfId="2" applyNumberFormat="1" applyFont="1" applyFill="1" applyBorder="1" applyAlignment="1">
      <alignment horizontal="center" vertical="center"/>
    </xf>
    <xf numFmtId="170" fontId="12" fillId="29" borderId="45" xfId="2" applyNumberFormat="1" applyFont="1" applyFill="1" applyBorder="1" applyAlignment="1">
      <alignment horizontal="center" vertical="center"/>
    </xf>
    <xf numFmtId="43" fontId="12" fillId="29" borderId="40" xfId="1" applyFont="1" applyFill="1" applyBorder="1" applyAlignment="1">
      <alignment horizontal="center" vertical="center"/>
    </xf>
    <xf numFmtId="43" fontId="12" fillId="29" borderId="45" xfId="1" applyFont="1" applyFill="1" applyBorder="1" applyAlignment="1">
      <alignment horizontal="center" vertical="center"/>
    </xf>
    <xf numFmtId="165" fontId="12" fillId="29" borderId="45" xfId="3" applyNumberFormat="1" applyFont="1" applyFill="1" applyBorder="1" applyAlignment="1">
      <alignment horizontal="center" vertical="center"/>
    </xf>
    <xf numFmtId="164" fontId="12" fillId="29" borderId="45" xfId="1" applyNumberFormat="1" applyFont="1" applyFill="1" applyBorder="1" applyAlignment="1">
      <alignment horizontal="center" vertical="center"/>
    </xf>
    <xf numFmtId="0" fontId="14" fillId="0" borderId="0" xfId="0" applyFont="1" applyFill="1" applyBorder="1" applyAlignment="1">
      <alignment horizontal="center" vertical="center" wrapText="1"/>
    </xf>
    <xf numFmtId="9" fontId="12" fillId="29" borderId="40" xfId="2" applyFont="1" applyFill="1" applyBorder="1" applyAlignment="1">
      <alignment horizontal="center" vertical="center"/>
    </xf>
    <xf numFmtId="0" fontId="12" fillId="29" borderId="53" xfId="0" applyFont="1" applyFill="1" applyBorder="1" applyAlignment="1">
      <alignment horizontal="center" vertical="center"/>
    </xf>
    <xf numFmtId="0" fontId="12" fillId="0" borderId="0" xfId="0" applyFont="1" applyFill="1" applyBorder="1" applyAlignment="1">
      <alignment vertical="center"/>
    </xf>
    <xf numFmtId="9" fontId="12" fillId="29" borderId="42" xfId="2" applyFont="1" applyFill="1" applyBorder="1" applyAlignment="1">
      <alignment horizontal="center" vertical="center"/>
    </xf>
    <xf numFmtId="0" fontId="12" fillId="29" borderId="36" xfId="0" applyFont="1" applyFill="1" applyBorder="1" applyAlignment="1">
      <alignment horizontal="center" vertical="center"/>
    </xf>
    <xf numFmtId="0" fontId="12" fillId="29" borderId="42" xfId="0" applyFont="1" applyFill="1" applyBorder="1" applyAlignment="1">
      <alignment horizontal="center" vertical="center"/>
    </xf>
    <xf numFmtId="168" fontId="12" fillId="29" borderId="44" xfId="0" applyNumberFormat="1" applyFont="1" applyFill="1" applyBorder="1" applyAlignment="1">
      <alignment horizontal="center" vertical="center"/>
    </xf>
    <xf numFmtId="168" fontId="12" fillId="29" borderId="45" xfId="0" applyNumberFormat="1" applyFont="1" applyFill="1" applyBorder="1" applyAlignment="1">
      <alignment horizontal="center" vertical="center"/>
    </xf>
    <xf numFmtId="0" fontId="12" fillId="0" borderId="0" xfId="0" applyFont="1" applyFill="1" applyBorder="1" applyAlignment="1">
      <alignment horizontal="center" vertical="center"/>
    </xf>
    <xf numFmtId="0" fontId="14" fillId="0" borderId="38" xfId="0" applyFont="1" applyFill="1" applyBorder="1" applyAlignment="1">
      <alignment horizontal="center" vertical="center" wrapText="1"/>
    </xf>
    <xf numFmtId="0" fontId="14" fillId="0" borderId="41" xfId="0" applyFont="1" applyFill="1" applyBorder="1" applyAlignment="1">
      <alignment horizontal="center" vertical="center" wrapText="1"/>
    </xf>
    <xf numFmtId="168" fontId="12" fillId="29" borderId="36" xfId="0" applyNumberFormat="1" applyFont="1" applyFill="1" applyBorder="1" applyAlignment="1">
      <alignment horizontal="center" vertical="center"/>
    </xf>
    <xf numFmtId="168" fontId="12" fillId="29" borderId="42" xfId="0" applyNumberFormat="1" applyFont="1" applyFill="1" applyBorder="1" applyAlignment="1">
      <alignment horizontal="center" vertical="center"/>
    </xf>
    <xf numFmtId="0" fontId="14" fillId="0" borderId="43" xfId="0" applyFont="1" applyFill="1" applyBorder="1" applyAlignment="1">
      <alignment horizontal="center" vertical="center" wrapText="1"/>
    </xf>
    <xf numFmtId="0" fontId="12" fillId="29" borderId="44" xfId="0" applyFont="1" applyFill="1" applyBorder="1" applyAlignment="1">
      <alignment horizontal="center" vertical="center"/>
    </xf>
    <xf numFmtId="0" fontId="12" fillId="29" borderId="45" xfId="0" applyFont="1" applyFill="1" applyBorder="1" applyAlignment="1">
      <alignment horizontal="center" vertical="center"/>
    </xf>
    <xf numFmtId="0" fontId="12" fillId="0" borderId="0" xfId="0" applyFont="1" applyFill="1" applyAlignment="1">
      <alignment horizontal="center" vertical="center"/>
    </xf>
    <xf numFmtId="0" fontId="12" fillId="0" borderId="0" xfId="0" applyFont="1" applyBorder="1" applyAlignment="1">
      <alignment horizontal="center" vertical="center"/>
    </xf>
    <xf numFmtId="0" fontId="15" fillId="0" borderId="0" xfId="0" applyFont="1" applyFill="1" applyAlignment="1">
      <alignment horizontal="center" vertical="center" wrapText="1"/>
    </xf>
    <xf numFmtId="0" fontId="14" fillId="15" borderId="37" xfId="0" applyFont="1" applyFill="1" applyBorder="1" applyAlignment="1">
      <alignment horizontal="center" vertical="center" wrapText="1"/>
    </xf>
    <xf numFmtId="0" fontId="14" fillId="15" borderId="47"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52"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15" borderId="48" xfId="0" applyFont="1" applyFill="1" applyBorder="1" applyAlignment="1">
      <alignment horizontal="center" vertical="center" wrapText="1"/>
    </xf>
    <xf numFmtId="0" fontId="12" fillId="0" borderId="60" xfId="0" applyFont="1" applyFill="1" applyBorder="1" applyAlignment="1">
      <alignment horizontal="center" vertical="center"/>
    </xf>
    <xf numFmtId="0" fontId="16" fillId="0" borderId="36" xfId="0" applyFont="1" applyFill="1" applyBorder="1" applyAlignment="1">
      <alignment horizontal="center" vertical="center"/>
    </xf>
    <xf numFmtId="0" fontId="16" fillId="0" borderId="42" xfId="0" applyFont="1" applyFill="1" applyBorder="1" applyAlignment="1">
      <alignment horizontal="center" vertical="center"/>
    </xf>
    <xf numFmtId="0" fontId="12" fillId="0" borderId="0" xfId="0" applyFont="1" applyFill="1" applyBorder="1" applyAlignment="1">
      <alignment horizontal="center" vertical="center" wrapText="1"/>
    </xf>
    <xf numFmtId="165" fontId="12" fillId="0" borderId="0" xfId="0" applyNumberFormat="1" applyFont="1" applyFill="1" applyBorder="1" applyAlignment="1">
      <alignment horizontal="center" vertical="center"/>
    </xf>
    <xf numFmtId="0" fontId="23" fillId="5" borderId="47" xfId="0" applyFont="1" applyFill="1" applyBorder="1" applyAlignment="1">
      <alignment horizontal="center" vertical="center" wrapText="1"/>
    </xf>
    <xf numFmtId="0" fontId="23" fillId="31" borderId="37" xfId="0" applyFont="1" applyFill="1" applyBorder="1" applyAlignment="1">
      <alignment horizontal="center" vertical="center" wrapText="1"/>
    </xf>
    <xf numFmtId="165" fontId="12" fillId="0" borderId="70" xfId="3" applyNumberFormat="1" applyFont="1" applyFill="1" applyBorder="1" applyAlignment="1">
      <alignment horizontal="center" vertical="center"/>
    </xf>
    <xf numFmtId="0" fontId="14" fillId="0" borderId="75" xfId="0" applyFont="1" applyFill="1" applyBorder="1" applyAlignment="1">
      <alignment horizontal="center" vertical="center" wrapText="1"/>
    </xf>
    <xf numFmtId="0" fontId="18" fillId="0" borderId="68" xfId="0" applyFont="1" applyFill="1" applyBorder="1" applyAlignment="1">
      <alignment horizontal="center" vertical="center" wrapText="1"/>
    </xf>
    <xf numFmtId="0" fontId="16" fillId="3" borderId="76" xfId="0" applyFont="1" applyFill="1" applyBorder="1" applyAlignment="1">
      <alignment horizontal="center" vertical="center"/>
    </xf>
    <xf numFmtId="0" fontId="16" fillId="3" borderId="61" xfId="0" applyFont="1" applyFill="1" applyBorder="1" applyAlignment="1">
      <alignment horizontal="center" vertical="center"/>
    </xf>
    <xf numFmtId="0" fontId="24" fillId="3" borderId="77" xfId="0" applyFont="1" applyFill="1" applyBorder="1" applyAlignment="1">
      <alignment horizontal="center" vertical="center" wrapText="1"/>
    </xf>
    <xf numFmtId="165" fontId="25" fillId="3" borderId="66" xfId="0" applyNumberFormat="1" applyFont="1" applyFill="1" applyBorder="1" applyAlignment="1">
      <alignment horizontal="center" vertical="center"/>
    </xf>
    <xf numFmtId="0" fontId="12" fillId="0" borderId="80" xfId="0" applyFont="1" applyFill="1" applyBorder="1" applyAlignment="1">
      <alignment horizontal="center" vertical="center" wrapText="1"/>
    </xf>
    <xf numFmtId="0" fontId="12" fillId="0" borderId="84" xfId="0" applyFont="1" applyFill="1" applyBorder="1" applyAlignment="1">
      <alignment horizontal="center" vertical="center" wrapText="1"/>
    </xf>
    <xf numFmtId="165" fontId="12" fillId="0" borderId="59" xfId="0" applyNumberFormat="1" applyFont="1" applyFill="1" applyBorder="1" applyAlignment="1">
      <alignment horizontal="center" vertical="center"/>
    </xf>
    <xf numFmtId="165" fontId="12" fillId="0" borderId="59" xfId="3" applyNumberFormat="1" applyFont="1" applyFill="1" applyBorder="1" applyAlignment="1">
      <alignment horizontal="center" vertical="center"/>
    </xf>
    <xf numFmtId="165" fontId="12" fillId="0" borderId="85" xfId="0" applyNumberFormat="1" applyFont="1" applyFill="1" applyBorder="1" applyAlignment="1">
      <alignment horizontal="center" vertical="center"/>
    </xf>
    <xf numFmtId="165" fontId="12" fillId="0" borderId="85" xfId="3" applyNumberFormat="1" applyFont="1" applyFill="1" applyBorder="1" applyAlignment="1">
      <alignment horizontal="center" vertical="center"/>
    </xf>
    <xf numFmtId="0" fontId="12" fillId="0" borderId="67" xfId="0" applyFont="1" applyFill="1" applyBorder="1" applyAlignment="1">
      <alignment horizontal="center" vertical="center"/>
    </xf>
    <xf numFmtId="0" fontId="16" fillId="0" borderId="52" xfId="0" applyFont="1" applyFill="1" applyBorder="1" applyAlignment="1">
      <alignment horizontal="center" vertical="center" wrapText="1"/>
    </xf>
    <xf numFmtId="165" fontId="12" fillId="3" borderId="86" xfId="0" applyNumberFormat="1" applyFont="1" applyFill="1" applyBorder="1" applyAlignment="1">
      <alignment horizontal="center" vertical="center"/>
    </xf>
    <xf numFmtId="165" fontId="12" fillId="3" borderId="83" xfId="0" applyNumberFormat="1" applyFont="1" applyFill="1" applyBorder="1" applyAlignment="1">
      <alignment horizontal="center" vertical="center"/>
    </xf>
    <xf numFmtId="0" fontId="14" fillId="15" borderId="74" xfId="0" applyFont="1" applyFill="1" applyBorder="1" applyAlignment="1">
      <alignment horizontal="center" vertical="center" wrapText="1"/>
    </xf>
    <xf numFmtId="164" fontId="12" fillId="15" borderId="69" xfId="1" applyNumberFormat="1" applyFont="1" applyFill="1" applyBorder="1" applyAlignment="1">
      <alignment horizontal="center" vertical="center"/>
    </xf>
    <xf numFmtId="0" fontId="21" fillId="15" borderId="47" xfId="0" applyFont="1" applyFill="1" applyBorder="1" applyAlignment="1">
      <alignment horizontal="center" vertical="center" wrapText="1"/>
    </xf>
    <xf numFmtId="165" fontId="12" fillId="15" borderId="69" xfId="0" applyNumberFormat="1" applyFont="1" applyFill="1" applyBorder="1" applyAlignment="1">
      <alignment horizontal="center" vertical="center"/>
    </xf>
    <xf numFmtId="0" fontId="18" fillId="15" borderId="47" xfId="0" applyFont="1" applyFill="1" applyBorder="1" applyAlignment="1">
      <alignment horizontal="center" vertical="center" wrapText="1"/>
    </xf>
    <xf numFmtId="6" fontId="16" fillId="15" borderId="40" xfId="0" applyNumberFormat="1" applyFont="1" applyFill="1" applyBorder="1" applyAlignment="1">
      <alignment horizontal="center" vertical="center"/>
    </xf>
    <xf numFmtId="165" fontId="12" fillId="30" borderId="69" xfId="3" applyNumberFormat="1" applyFont="1" applyFill="1" applyBorder="1" applyAlignment="1">
      <alignment horizontal="center" vertical="center"/>
    </xf>
    <xf numFmtId="0" fontId="18" fillId="30" borderId="48" xfId="0" applyFont="1" applyFill="1" applyBorder="1" applyAlignment="1">
      <alignment horizontal="center" vertical="center" wrapText="1"/>
    </xf>
    <xf numFmtId="6" fontId="16" fillId="30" borderId="45" xfId="0" applyNumberFormat="1" applyFont="1" applyFill="1" applyBorder="1" applyAlignment="1">
      <alignment horizontal="center" vertical="center"/>
    </xf>
    <xf numFmtId="0" fontId="12" fillId="15" borderId="84" xfId="0" applyFont="1" applyFill="1" applyBorder="1" applyAlignment="1">
      <alignment horizontal="center" vertical="center" wrapText="1"/>
    </xf>
    <xf numFmtId="0" fontId="12" fillId="15" borderId="85" xfId="0" applyFont="1" applyFill="1" applyBorder="1" applyAlignment="1">
      <alignment horizontal="center" vertical="center"/>
    </xf>
    <xf numFmtId="43" fontId="12" fillId="15" borderId="86" xfId="0" applyNumberFormat="1" applyFont="1" applyFill="1" applyBorder="1" applyAlignment="1">
      <alignment horizontal="center" vertical="center"/>
    </xf>
    <xf numFmtId="0" fontId="12" fillId="15" borderId="80" xfId="0" applyFont="1" applyFill="1" applyBorder="1" applyAlignment="1">
      <alignment horizontal="center" vertical="center" wrapText="1"/>
    </xf>
    <xf numFmtId="0" fontId="12" fillId="15" borderId="59" xfId="0" applyFont="1" applyFill="1" applyBorder="1" applyAlignment="1">
      <alignment horizontal="center" vertical="center"/>
    </xf>
    <xf numFmtId="43" fontId="12" fillId="15" borderId="83" xfId="0" applyNumberFormat="1" applyFont="1" applyFill="1" applyBorder="1" applyAlignment="1">
      <alignment horizontal="center" vertical="center"/>
    </xf>
    <xf numFmtId="0" fontId="12" fillId="15" borderId="87" xfId="0" applyFont="1" applyFill="1" applyBorder="1" applyAlignment="1">
      <alignment horizontal="center" vertical="center" wrapText="1"/>
    </xf>
    <xf numFmtId="0" fontId="12" fillId="15" borderId="62" xfId="0" applyFont="1" applyFill="1" applyBorder="1" applyAlignment="1">
      <alignment horizontal="center" vertical="center"/>
    </xf>
    <xf numFmtId="0" fontId="12" fillId="15" borderId="77" xfId="0" applyFont="1" applyFill="1" applyBorder="1" applyAlignment="1">
      <alignment horizontal="center" vertical="center" wrapText="1"/>
    </xf>
    <xf numFmtId="165" fontId="12" fillId="15" borderId="85" xfId="0" applyNumberFormat="1" applyFont="1" applyFill="1" applyBorder="1" applyAlignment="1">
      <alignment horizontal="center" vertical="center"/>
    </xf>
    <xf numFmtId="165" fontId="12" fillId="15" borderId="85" xfId="3" applyNumberFormat="1" applyFont="1" applyFill="1" applyBorder="1" applyAlignment="1">
      <alignment horizontal="center" vertical="center"/>
    </xf>
    <xf numFmtId="165" fontId="12" fillId="15" borderId="59" xfId="0" applyNumberFormat="1" applyFont="1" applyFill="1" applyBorder="1" applyAlignment="1">
      <alignment horizontal="center" vertical="center"/>
    </xf>
    <xf numFmtId="165" fontId="12" fillId="15" borderId="59" xfId="3" applyNumberFormat="1" applyFont="1" applyFill="1" applyBorder="1" applyAlignment="1">
      <alignment horizontal="center" vertical="center"/>
    </xf>
    <xf numFmtId="0" fontId="12" fillId="32" borderId="84" xfId="0" applyFont="1" applyFill="1" applyBorder="1" applyAlignment="1">
      <alignment horizontal="center" vertical="center" wrapText="1"/>
    </xf>
    <xf numFmtId="0" fontId="12" fillId="32" borderId="85" xfId="0" applyFont="1" applyFill="1" applyBorder="1" applyAlignment="1">
      <alignment horizontal="center" vertical="center"/>
    </xf>
    <xf numFmtId="43" fontId="12" fillId="32" borderId="86" xfId="0" applyNumberFormat="1" applyFont="1" applyFill="1" applyBorder="1" applyAlignment="1">
      <alignment horizontal="center" vertical="center"/>
    </xf>
    <xf numFmtId="0" fontId="12" fillId="32" borderId="80" xfId="0" applyFont="1" applyFill="1" applyBorder="1" applyAlignment="1">
      <alignment horizontal="center" vertical="center" wrapText="1"/>
    </xf>
    <xf numFmtId="0" fontId="12" fillId="32" borderId="59" xfId="0" applyFont="1" applyFill="1" applyBorder="1" applyAlignment="1">
      <alignment horizontal="center" vertical="center"/>
    </xf>
    <xf numFmtId="43" fontId="12" fillId="32" borderId="83" xfId="0" applyNumberFormat="1" applyFont="1" applyFill="1" applyBorder="1" applyAlignment="1">
      <alignment horizontal="center" vertical="center"/>
    </xf>
    <xf numFmtId="0" fontId="0" fillId="0" borderId="71" xfId="0" applyBorder="1" applyAlignment="1">
      <alignment horizontal="center" vertical="center"/>
    </xf>
    <xf numFmtId="0" fontId="0" fillId="0" borderId="63" xfId="0" applyBorder="1" applyAlignment="1">
      <alignment horizontal="center" vertical="center"/>
    </xf>
    <xf numFmtId="0" fontId="0" fillId="0" borderId="73" xfId="0" applyBorder="1" applyAlignment="1">
      <alignment horizontal="center" vertical="center"/>
    </xf>
    <xf numFmtId="165" fontId="3" fillId="0" borderId="67" xfId="0" applyNumberFormat="1" applyFont="1" applyBorder="1" applyAlignment="1">
      <alignment horizontal="center" vertical="center"/>
    </xf>
    <xf numFmtId="0" fontId="2" fillId="4" borderId="99" xfId="0" applyFont="1" applyFill="1" applyBorder="1" applyAlignment="1">
      <alignment horizontal="center" vertical="center"/>
    </xf>
    <xf numFmtId="0" fontId="2" fillId="15" borderId="102" xfId="0" applyFont="1" applyFill="1" applyBorder="1" applyAlignment="1">
      <alignment horizontal="center" vertical="center"/>
    </xf>
    <xf numFmtId="0" fontId="2" fillId="15" borderId="103" xfId="0" applyFont="1" applyFill="1" applyBorder="1" applyAlignment="1">
      <alignment horizontal="center" vertical="center"/>
    </xf>
    <xf numFmtId="165" fontId="0" fillId="0" borderId="90" xfId="3" applyNumberFormat="1" applyFont="1" applyBorder="1" applyAlignment="1">
      <alignment horizontal="center" vertical="center"/>
    </xf>
    <xf numFmtId="165" fontId="0" fillId="0" borderId="91" xfId="3" applyNumberFormat="1" applyFont="1" applyBorder="1" applyAlignment="1">
      <alignment horizontal="center" vertical="center"/>
    </xf>
    <xf numFmtId="165" fontId="0" fillId="0" borderId="92" xfId="3" applyNumberFormat="1" applyFont="1" applyBorder="1" applyAlignment="1">
      <alignment horizontal="center" vertical="center"/>
    </xf>
    <xf numFmtId="165" fontId="0" fillId="0" borderId="93" xfId="3" applyNumberFormat="1" applyFont="1" applyBorder="1" applyAlignment="1">
      <alignment horizontal="center" vertical="center"/>
    </xf>
    <xf numFmtId="165" fontId="0" fillId="0" borderId="94" xfId="3" applyNumberFormat="1" applyFont="1" applyBorder="1" applyAlignment="1">
      <alignment horizontal="center" vertical="center"/>
    </xf>
    <xf numFmtId="165" fontId="0" fillId="0" borderId="93" xfId="3" applyNumberFormat="1" applyFont="1" applyFill="1" applyBorder="1" applyAlignment="1">
      <alignment horizontal="center" vertical="center"/>
    </xf>
    <xf numFmtId="165" fontId="0" fillId="0" borderId="94" xfId="3" applyNumberFormat="1" applyFont="1" applyFill="1" applyBorder="1" applyAlignment="1">
      <alignment horizontal="center" vertical="center"/>
    </xf>
    <xf numFmtId="165" fontId="0" fillId="0" borderId="95" xfId="3" applyNumberFormat="1" applyFont="1" applyBorder="1" applyAlignment="1">
      <alignment horizontal="center" vertical="center"/>
    </xf>
    <xf numFmtId="165" fontId="0" fillId="0" borderId="96" xfId="3" applyNumberFormat="1" applyFont="1" applyBorder="1" applyAlignment="1">
      <alignment horizontal="center" vertical="center"/>
    </xf>
    <xf numFmtId="165" fontId="0" fillId="0" borderId="97" xfId="3" applyNumberFormat="1" applyFont="1" applyBorder="1" applyAlignment="1">
      <alignment horizontal="center" vertical="center"/>
    </xf>
    <xf numFmtId="165" fontId="12" fillId="15" borderId="38" xfId="0" applyNumberFormat="1" applyFont="1" applyFill="1" applyBorder="1" applyAlignment="1">
      <alignment horizontal="center" vertical="center"/>
    </xf>
    <xf numFmtId="165" fontId="12" fillId="15" borderId="39" xfId="0" applyNumberFormat="1" applyFont="1" applyFill="1" applyBorder="1" applyAlignment="1">
      <alignment horizontal="center" vertical="center"/>
    </xf>
    <xf numFmtId="0" fontId="16" fillId="3" borderId="52" xfId="0" applyFont="1" applyFill="1" applyBorder="1" applyAlignment="1">
      <alignment horizontal="center" vertical="center"/>
    </xf>
    <xf numFmtId="164" fontId="12" fillId="15" borderId="38" xfId="1" applyNumberFormat="1" applyFont="1" applyFill="1" applyBorder="1" applyAlignment="1">
      <alignment horizontal="center" vertical="center"/>
    </xf>
    <xf numFmtId="165" fontId="12" fillId="0" borderId="43" xfId="3" applyNumberFormat="1" applyFont="1" applyFill="1" applyBorder="1" applyAlignment="1">
      <alignment horizontal="center" vertical="center"/>
    </xf>
    <xf numFmtId="0" fontId="21" fillId="30" borderId="74" xfId="0" applyFont="1" applyFill="1" applyBorder="1" applyAlignment="1">
      <alignment horizontal="center" vertical="center" wrapText="1"/>
    </xf>
    <xf numFmtId="165" fontId="12" fillId="30" borderId="38" xfId="3" applyNumberFormat="1" applyFont="1" applyFill="1" applyBorder="1" applyAlignment="1">
      <alignment horizontal="center" vertical="center"/>
    </xf>
    <xf numFmtId="0" fontId="27" fillId="0" borderId="0" xfId="0" applyFont="1" applyAlignment="1">
      <alignment horizontal="center" vertical="center"/>
    </xf>
    <xf numFmtId="0" fontId="27" fillId="0" borderId="0" xfId="0" applyFont="1" applyFill="1" applyAlignment="1">
      <alignment horizontal="center" vertical="center"/>
    </xf>
    <xf numFmtId="166" fontId="27" fillId="0" borderId="0" xfId="3" applyNumberFormat="1" applyFont="1" applyFill="1" applyBorder="1" applyAlignment="1">
      <alignment horizontal="center" vertical="center"/>
    </xf>
    <xf numFmtId="166" fontId="27" fillId="0" borderId="0" xfId="3" applyNumberFormat="1" applyFont="1" applyFill="1" applyBorder="1" applyAlignment="1">
      <alignment vertical="center"/>
    </xf>
    <xf numFmtId="0" fontId="27" fillId="0" borderId="0" xfId="0" applyFont="1" applyAlignment="1">
      <alignment horizontal="left" vertical="center"/>
    </xf>
    <xf numFmtId="0" fontId="27" fillId="0" borderId="0" xfId="0" applyFont="1" applyFill="1" applyAlignment="1">
      <alignment horizontal="left" vertical="center"/>
    </xf>
    <xf numFmtId="9" fontId="27" fillId="0" borderId="0" xfId="2" applyFont="1" applyFill="1" applyBorder="1" applyAlignment="1">
      <alignment horizontal="left" vertical="center"/>
    </xf>
    <xf numFmtId="166" fontId="27" fillId="0" borderId="0" xfId="3" applyNumberFormat="1" applyFont="1" applyFill="1" applyBorder="1" applyAlignment="1">
      <alignment horizontal="left" vertical="center"/>
    </xf>
    <xf numFmtId="0" fontId="29" fillId="0" borderId="61" xfId="0" applyFont="1" applyFill="1" applyBorder="1" applyAlignment="1">
      <alignment horizontal="center" vertical="center" wrapText="1"/>
    </xf>
    <xf numFmtId="165" fontId="29" fillId="0" borderId="53" xfId="3" applyNumberFormat="1" applyFont="1" applyFill="1" applyBorder="1" applyAlignment="1">
      <alignment horizontal="center" vertical="center" wrapText="1"/>
    </xf>
    <xf numFmtId="0" fontId="28" fillId="0" borderId="72" xfId="0" applyFont="1" applyBorder="1" applyAlignment="1">
      <alignment horizontal="center" vertical="center"/>
    </xf>
    <xf numFmtId="0" fontId="28" fillId="0" borderId="0" xfId="0" applyFont="1" applyBorder="1" applyAlignment="1">
      <alignment horizontal="center" vertical="center"/>
    </xf>
    <xf numFmtId="0" fontId="29" fillId="0" borderId="61" xfId="0" applyFont="1" applyFill="1" applyBorder="1" applyAlignment="1">
      <alignment horizontal="center" vertical="center"/>
    </xf>
    <xf numFmtId="0" fontId="29" fillId="0" borderId="56" xfId="0" applyFont="1" applyFill="1" applyBorder="1" applyAlignment="1">
      <alignment horizontal="center" vertical="center" wrapText="1"/>
    </xf>
    <xf numFmtId="0" fontId="29" fillId="3" borderId="57" xfId="0" applyFont="1" applyFill="1" applyBorder="1" applyAlignment="1">
      <alignment horizontal="center" vertical="center" wrapText="1"/>
    </xf>
    <xf numFmtId="0" fontId="16" fillId="0" borderId="105" xfId="0" applyFont="1" applyFill="1" applyBorder="1" applyAlignment="1">
      <alignment horizontal="center" vertical="center" wrapText="1"/>
    </xf>
    <xf numFmtId="0" fontId="29" fillId="0" borderId="52" xfId="0" applyFont="1" applyFill="1" applyBorder="1" applyAlignment="1">
      <alignment horizontal="center" vertical="center"/>
    </xf>
    <xf numFmtId="0" fontId="28" fillId="0" borderId="0" xfId="0" applyFont="1" applyBorder="1" applyAlignment="1">
      <alignment vertical="center"/>
    </xf>
    <xf numFmtId="44" fontId="12" fillId="15" borderId="86" xfId="3" applyFont="1" applyFill="1" applyBorder="1" applyAlignment="1">
      <alignment horizontal="center" vertical="center"/>
    </xf>
    <xf numFmtId="44" fontId="12" fillId="15" borderId="88" xfId="3" applyFont="1" applyFill="1" applyBorder="1" applyAlignment="1">
      <alignment horizontal="center" vertical="center"/>
    </xf>
    <xf numFmtId="0" fontId="14" fillId="3" borderId="106" xfId="0" applyFont="1" applyFill="1" applyBorder="1" applyAlignment="1">
      <alignment horizontal="center" vertical="center" wrapText="1"/>
    </xf>
    <xf numFmtId="165" fontId="12" fillId="3" borderId="78" xfId="0" applyNumberFormat="1" applyFont="1" applyFill="1" applyBorder="1" applyAlignment="1">
      <alignment horizontal="center" vertical="center"/>
    </xf>
    <xf numFmtId="165" fontId="12" fillId="3" borderId="107" xfId="0" applyNumberFormat="1" applyFont="1" applyFill="1" applyBorder="1" applyAlignment="1">
      <alignment horizontal="center" vertical="center"/>
    </xf>
    <xf numFmtId="0" fontId="20" fillId="15" borderId="67" xfId="0" applyFont="1" applyFill="1" applyBorder="1" applyAlignment="1">
      <alignment horizontal="center" vertical="center" wrapText="1"/>
    </xf>
    <xf numFmtId="165" fontId="30" fillId="15" borderId="80" xfId="0" applyNumberFormat="1" applyFont="1" applyFill="1" applyBorder="1" applyAlignment="1">
      <alignment horizontal="center" vertical="center"/>
    </xf>
    <xf numFmtId="165" fontId="30" fillId="15" borderId="59" xfId="0" applyNumberFormat="1" applyFont="1" applyFill="1" applyBorder="1" applyAlignment="1">
      <alignment horizontal="center" vertical="center"/>
    </xf>
    <xf numFmtId="0" fontId="21" fillId="15" borderId="106" xfId="0" applyFont="1" applyFill="1" applyBorder="1" applyAlignment="1">
      <alignment horizontal="center" vertical="center" wrapText="1"/>
    </xf>
    <xf numFmtId="165" fontId="12" fillId="15" borderId="78" xfId="0" applyNumberFormat="1" applyFont="1" applyFill="1" applyBorder="1" applyAlignment="1">
      <alignment horizontal="center" vertical="center"/>
    </xf>
    <xf numFmtId="165" fontId="12" fillId="15" borderId="79" xfId="0" applyNumberFormat="1" applyFont="1" applyFill="1" applyBorder="1" applyAlignment="1">
      <alignment horizontal="center" vertical="center"/>
    </xf>
    <xf numFmtId="0" fontId="20" fillId="30" borderId="67" xfId="0" applyFont="1" applyFill="1" applyBorder="1" applyAlignment="1">
      <alignment horizontal="center" vertical="center" wrapText="1"/>
    </xf>
    <xf numFmtId="165" fontId="30" fillId="30" borderId="80" xfId="0" applyNumberFormat="1" applyFont="1" applyFill="1" applyBorder="1" applyAlignment="1">
      <alignment horizontal="center" vertical="center"/>
    </xf>
    <xf numFmtId="165" fontId="30" fillId="30" borderId="66" xfId="0" applyNumberFormat="1" applyFont="1" applyFill="1" applyBorder="1" applyAlignment="1">
      <alignment horizontal="center" vertical="center"/>
    </xf>
    <xf numFmtId="0" fontId="17" fillId="5" borderId="37" xfId="0" applyFont="1" applyFill="1" applyBorder="1" applyAlignment="1">
      <alignment horizontal="center" vertical="center" wrapText="1"/>
    </xf>
    <xf numFmtId="0" fontId="17" fillId="31" borderId="48" xfId="0" applyFont="1" applyFill="1" applyBorder="1" applyAlignment="1">
      <alignment horizontal="center" vertical="center" wrapText="1"/>
    </xf>
    <xf numFmtId="0" fontId="16" fillId="0" borderId="0" xfId="0" applyFont="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Border="1" applyAlignment="1">
      <alignment horizontal="center" vertical="center" wrapText="1"/>
    </xf>
    <xf numFmtId="0" fontId="17" fillId="0" borderId="0" xfId="0" applyFont="1" applyFill="1" applyAlignment="1">
      <alignment horizontal="center" vertical="center"/>
    </xf>
    <xf numFmtId="0" fontId="16" fillId="0" borderId="0" xfId="0" applyFont="1" applyFill="1" applyAlignment="1">
      <alignment horizontal="center" vertical="center"/>
    </xf>
    <xf numFmtId="164" fontId="16" fillId="0" borderId="0" xfId="1" applyNumberFormat="1" applyFont="1" applyFill="1" applyBorder="1" applyAlignment="1">
      <alignment horizontal="center" vertical="center"/>
    </xf>
    <xf numFmtId="164" fontId="17" fillId="0" borderId="0" xfId="1" applyNumberFormat="1" applyFont="1" applyFill="1" applyBorder="1" applyAlignment="1">
      <alignment horizontal="center" vertical="center"/>
    </xf>
    <xf numFmtId="0" fontId="14" fillId="3" borderId="108" xfId="0" applyFont="1" applyFill="1" applyBorder="1" applyAlignment="1">
      <alignment horizontal="center" vertical="center" wrapText="1"/>
    </xf>
    <xf numFmtId="0" fontId="14" fillId="15" borderId="108" xfId="0" applyFont="1" applyFill="1" applyBorder="1" applyAlignment="1">
      <alignment horizontal="center" vertical="center" wrapText="1"/>
    </xf>
    <xf numFmtId="0" fontId="16" fillId="4" borderId="112" xfId="0" applyFont="1" applyFill="1" applyBorder="1" applyAlignment="1">
      <alignment horizontal="center" vertical="center"/>
    </xf>
    <xf numFmtId="0" fontId="16" fillId="15" borderId="113" xfId="0" applyFont="1" applyFill="1" applyBorder="1" applyAlignment="1">
      <alignment horizontal="center" vertical="center"/>
    </xf>
    <xf numFmtId="0" fontId="14" fillId="3" borderId="117" xfId="0" applyFont="1" applyFill="1" applyBorder="1" applyAlignment="1">
      <alignment horizontal="center" vertical="center" wrapText="1"/>
    </xf>
    <xf numFmtId="0" fontId="14" fillId="15" borderId="119" xfId="0" applyFont="1" applyFill="1" applyBorder="1" applyAlignment="1">
      <alignment horizontal="center" vertical="center" wrapText="1"/>
    </xf>
    <xf numFmtId="0" fontId="14" fillId="15" borderId="120" xfId="0" applyFont="1" applyFill="1" applyBorder="1" applyAlignment="1">
      <alignment horizontal="center" vertical="center" wrapText="1"/>
    </xf>
    <xf numFmtId="0" fontId="14" fillId="3" borderId="109" xfId="0" applyFont="1" applyFill="1" applyBorder="1" applyAlignment="1">
      <alignment horizontal="center" vertical="center" wrapText="1"/>
    </xf>
    <xf numFmtId="0" fontId="14" fillId="3" borderId="125" xfId="0" applyFont="1" applyFill="1" applyBorder="1" applyAlignment="1">
      <alignment horizontal="center" vertical="center" wrapText="1"/>
    </xf>
    <xf numFmtId="0" fontId="14" fillId="0" borderId="116" xfId="0" applyFont="1" applyFill="1" applyBorder="1" applyAlignment="1">
      <alignment horizontal="center" vertical="center" wrapText="1"/>
    </xf>
    <xf numFmtId="0" fontId="14" fillId="0" borderId="117" xfId="0" applyFont="1" applyFill="1" applyBorder="1" applyAlignment="1">
      <alignment horizontal="center" vertical="center" wrapText="1"/>
    </xf>
    <xf numFmtId="0" fontId="14" fillId="0" borderId="118" xfId="0" applyFont="1" applyFill="1" applyBorder="1" applyAlignment="1">
      <alignment horizontal="center" vertical="center" wrapText="1"/>
    </xf>
    <xf numFmtId="0" fontId="14" fillId="3" borderId="129" xfId="0" applyFont="1" applyFill="1" applyBorder="1" applyAlignment="1">
      <alignment horizontal="center" vertical="center" wrapText="1"/>
    </xf>
    <xf numFmtId="0" fontId="14" fillId="15" borderId="130" xfId="0" applyFont="1" applyFill="1" applyBorder="1" applyAlignment="1">
      <alignment horizontal="center" vertical="center" wrapText="1"/>
    </xf>
    <xf numFmtId="43" fontId="12" fillId="15" borderId="132" xfId="0" applyNumberFormat="1" applyFont="1" applyFill="1" applyBorder="1" applyAlignment="1">
      <alignment horizontal="center" vertical="center"/>
    </xf>
    <xf numFmtId="43" fontId="12" fillId="15" borderId="133" xfId="0" applyNumberFormat="1" applyFont="1" applyFill="1" applyBorder="1" applyAlignment="1">
      <alignment horizontal="center" vertical="center"/>
    </xf>
    <xf numFmtId="43" fontId="12" fillId="32" borderId="132" xfId="0" applyNumberFormat="1" applyFont="1" applyFill="1" applyBorder="1" applyAlignment="1">
      <alignment horizontal="center" vertical="center"/>
    </xf>
    <xf numFmtId="43" fontId="12" fillId="32" borderId="133" xfId="0" applyNumberFormat="1" applyFont="1" applyFill="1" applyBorder="1" applyAlignment="1">
      <alignment horizontal="center" vertical="center"/>
    </xf>
    <xf numFmtId="0" fontId="12" fillId="15" borderId="135" xfId="0" applyFont="1" applyFill="1" applyBorder="1" applyAlignment="1">
      <alignment horizontal="center" vertical="center"/>
    </xf>
    <xf numFmtId="43" fontId="12" fillId="15" borderId="136" xfId="0" applyNumberFormat="1" applyFont="1" applyFill="1" applyBorder="1" applyAlignment="1">
      <alignment horizontal="center" vertical="center"/>
    </xf>
    <xf numFmtId="165" fontId="12" fillId="3" borderId="132" xfId="0" applyNumberFormat="1" applyFont="1" applyFill="1" applyBorder="1" applyAlignment="1">
      <alignment horizontal="center" vertical="center"/>
    </xf>
    <xf numFmtId="165" fontId="12" fillId="3" borderId="133" xfId="0" applyNumberFormat="1" applyFont="1" applyFill="1" applyBorder="1" applyAlignment="1">
      <alignment horizontal="center" vertical="center"/>
    </xf>
    <xf numFmtId="0" fontId="12" fillId="15" borderId="140" xfId="0" applyFont="1" applyFill="1" applyBorder="1" applyAlignment="1">
      <alignment horizontal="center" vertical="center" wrapText="1"/>
    </xf>
    <xf numFmtId="165" fontId="12" fillId="15" borderId="135" xfId="0" applyNumberFormat="1" applyFont="1" applyFill="1" applyBorder="1" applyAlignment="1">
      <alignment horizontal="center" vertical="center"/>
    </xf>
    <xf numFmtId="165" fontId="12" fillId="15" borderId="135" xfId="3" applyNumberFormat="1" applyFont="1" applyFill="1" applyBorder="1" applyAlignment="1">
      <alignment horizontal="center" vertical="center"/>
    </xf>
    <xf numFmtId="165" fontId="12" fillId="3" borderId="136" xfId="0" applyNumberFormat="1" applyFont="1" applyFill="1" applyBorder="1" applyAlignment="1">
      <alignment horizontal="center" vertical="center"/>
    </xf>
    <xf numFmtId="0" fontId="18" fillId="0" borderId="0" xfId="0" applyFont="1" applyFill="1" applyBorder="1" applyAlignment="1">
      <alignment horizontal="center" vertical="center" wrapText="1"/>
    </xf>
    <xf numFmtId="165" fontId="12" fillId="15" borderId="110" xfId="0" applyNumberFormat="1" applyFont="1" applyFill="1" applyBorder="1" applyAlignment="1">
      <alignment horizontal="center" vertical="center"/>
    </xf>
    <xf numFmtId="0" fontId="21" fillId="30" borderId="119" xfId="0" applyFont="1" applyFill="1" applyBorder="1" applyAlignment="1">
      <alignment horizontal="center" vertical="center" wrapText="1"/>
    </xf>
    <xf numFmtId="165" fontId="12" fillId="30" borderId="145" xfId="3" applyNumberFormat="1" applyFont="1" applyFill="1" applyBorder="1" applyAlignment="1">
      <alignment horizontal="center" vertical="center"/>
    </xf>
    <xf numFmtId="0" fontId="20" fillId="30" borderId="141" xfId="0" applyFont="1" applyFill="1" applyBorder="1" applyAlignment="1">
      <alignment horizontal="center" vertical="center" wrapText="1"/>
    </xf>
    <xf numFmtId="165" fontId="30" fillId="30" borderId="151" xfId="0" applyNumberFormat="1" applyFont="1" applyFill="1" applyBorder="1" applyAlignment="1">
      <alignment horizontal="center" vertical="center"/>
    </xf>
    <xf numFmtId="165" fontId="12" fillId="30" borderId="110" xfId="3" applyNumberFormat="1" applyFont="1" applyFill="1" applyBorder="1" applyAlignment="1">
      <alignment horizontal="center" vertical="center"/>
    </xf>
    <xf numFmtId="165" fontId="12" fillId="15" borderId="143" xfId="0" applyNumberFormat="1" applyFont="1" applyFill="1" applyBorder="1" applyAlignment="1">
      <alignment horizontal="center" vertical="center"/>
    </xf>
    <xf numFmtId="165" fontId="30" fillId="30" borderId="144" xfId="0" applyNumberFormat="1" applyFont="1" applyFill="1" applyBorder="1" applyAlignment="1">
      <alignment horizontal="center" vertical="center"/>
    </xf>
    <xf numFmtId="165" fontId="12" fillId="15" borderId="145" xfId="0" applyNumberFormat="1" applyFont="1" applyFill="1" applyBorder="1" applyAlignment="1">
      <alignment horizontal="center" vertical="center"/>
    </xf>
    <xf numFmtId="0" fontId="18" fillId="15" borderId="110" xfId="0" applyFont="1" applyFill="1" applyBorder="1" applyAlignment="1">
      <alignment horizontal="center" vertical="center" wrapText="1"/>
    </xf>
    <xf numFmtId="6" fontId="16" fillId="15" borderId="111" xfId="0" applyNumberFormat="1" applyFont="1" applyFill="1" applyBorder="1" applyAlignment="1">
      <alignment horizontal="center" vertical="center"/>
    </xf>
    <xf numFmtId="0" fontId="18" fillId="30" borderId="114" xfId="0" applyFont="1" applyFill="1" applyBorder="1" applyAlignment="1">
      <alignment horizontal="center" vertical="center" wrapText="1"/>
    </xf>
    <xf numFmtId="6" fontId="16" fillId="30" borderId="115" xfId="0" applyNumberFormat="1" applyFont="1" applyFill="1" applyBorder="1" applyAlignment="1">
      <alignment horizontal="center" vertical="center"/>
    </xf>
    <xf numFmtId="0" fontId="23" fillId="5" borderId="110" xfId="0" applyFont="1" applyFill="1" applyBorder="1" applyAlignment="1">
      <alignment horizontal="center" vertical="center" wrapText="1"/>
    </xf>
    <xf numFmtId="0" fontId="23" fillId="31" borderId="112" xfId="0" applyFont="1" applyFill="1" applyBorder="1" applyAlignment="1">
      <alignment horizontal="center" vertical="center" wrapText="1"/>
    </xf>
    <xf numFmtId="0" fontId="17" fillId="5" borderId="112" xfId="0" applyFont="1" applyFill="1" applyBorder="1" applyAlignment="1">
      <alignment horizontal="center" vertical="center" wrapText="1"/>
    </xf>
    <xf numFmtId="0" fontId="17" fillId="31" borderId="114" xfId="0" applyFont="1" applyFill="1" applyBorder="1" applyAlignment="1">
      <alignment horizontal="center" vertical="center" wrapText="1"/>
    </xf>
    <xf numFmtId="0" fontId="12" fillId="15" borderId="153" xfId="0" applyFont="1" applyFill="1" applyBorder="1" applyAlignment="1">
      <alignment horizontal="center" vertical="center" wrapText="1"/>
    </xf>
    <xf numFmtId="0" fontId="12" fillId="15" borderId="154" xfId="0" applyFont="1" applyFill="1" applyBorder="1" applyAlignment="1">
      <alignment horizontal="center" vertical="center" wrapText="1"/>
    </xf>
    <xf numFmtId="0" fontId="12" fillId="32" borderId="153" xfId="0" applyFont="1" applyFill="1" applyBorder="1" applyAlignment="1">
      <alignment horizontal="center" vertical="center" wrapText="1"/>
    </xf>
    <xf numFmtId="0" fontId="12" fillId="32" borderId="154" xfId="0" applyFont="1" applyFill="1" applyBorder="1" applyAlignment="1">
      <alignment horizontal="center" vertical="center" wrapText="1"/>
    </xf>
    <xf numFmtId="0" fontId="12" fillId="15" borderId="155" xfId="0" applyFont="1" applyFill="1" applyBorder="1" applyAlignment="1">
      <alignment horizontal="center" vertical="center" wrapText="1"/>
    </xf>
    <xf numFmtId="0" fontId="12" fillId="15" borderId="144" xfId="0" applyFont="1" applyFill="1" applyBorder="1" applyAlignment="1">
      <alignment horizontal="center" vertical="center" wrapText="1"/>
    </xf>
    <xf numFmtId="0" fontId="18" fillId="4" borderId="141" xfId="0" applyFont="1" applyFill="1" applyBorder="1" applyAlignment="1">
      <alignment horizontal="center" vertical="center" wrapText="1"/>
    </xf>
    <xf numFmtId="165" fontId="16" fillId="4" borderId="144" xfId="0" applyNumberFormat="1" applyFont="1" applyFill="1" applyBorder="1" applyAlignment="1">
      <alignment horizontal="center" vertical="center"/>
    </xf>
    <xf numFmtId="165" fontId="16" fillId="4" borderId="135" xfId="0" applyNumberFormat="1" applyFont="1" applyFill="1" applyBorder="1" applyAlignment="1">
      <alignment horizontal="center" vertical="center"/>
    </xf>
    <xf numFmtId="164" fontId="12" fillId="15" borderId="156" xfId="1" applyNumberFormat="1" applyFont="1" applyFill="1" applyBorder="1" applyAlignment="1">
      <alignment horizontal="center" vertical="center"/>
    </xf>
    <xf numFmtId="164" fontId="12" fillId="15" borderId="157" xfId="1" applyNumberFormat="1" applyFont="1" applyFill="1" applyBorder="1" applyAlignment="1">
      <alignment horizontal="center" vertical="center"/>
    </xf>
    <xf numFmtId="0" fontId="16" fillId="3" borderId="158" xfId="0" applyFont="1" applyFill="1" applyBorder="1" applyAlignment="1">
      <alignment horizontal="center" vertical="center"/>
    </xf>
    <xf numFmtId="165" fontId="12" fillId="15" borderId="152" xfId="0" applyNumberFormat="1" applyFont="1" applyFill="1" applyBorder="1" applyAlignment="1">
      <alignment horizontal="center" vertical="center"/>
    </xf>
    <xf numFmtId="165" fontId="16" fillId="4" borderId="151" xfId="0" applyNumberFormat="1" applyFont="1" applyFill="1" applyBorder="1" applyAlignment="1">
      <alignment horizontal="center" vertical="center"/>
    </xf>
    <xf numFmtId="9" fontId="17" fillId="31" borderId="44" xfId="2" applyFont="1" applyFill="1" applyBorder="1" applyAlignment="1">
      <alignment horizontal="center" vertical="center"/>
    </xf>
    <xf numFmtId="9" fontId="17" fillId="31" borderId="45" xfId="2" applyFont="1" applyFill="1" applyBorder="1" applyAlignment="1">
      <alignment horizontal="center" vertical="center"/>
    </xf>
    <xf numFmtId="167" fontId="23" fillId="5" borderId="39" xfId="0" applyNumberFormat="1" applyFont="1" applyFill="1" applyBorder="1" applyAlignment="1">
      <alignment horizontal="center" vertical="center"/>
    </xf>
    <xf numFmtId="167" fontId="23" fillId="5" borderId="40" xfId="0" applyNumberFormat="1" applyFont="1" applyFill="1" applyBorder="1" applyAlignment="1">
      <alignment horizontal="center" vertical="center"/>
    </xf>
    <xf numFmtId="9" fontId="23" fillId="31" borderId="36" xfId="2" applyFont="1" applyFill="1" applyBorder="1" applyAlignment="1">
      <alignment horizontal="center" vertical="center"/>
    </xf>
    <xf numFmtId="9" fontId="23" fillId="31" borderId="42" xfId="2" applyFont="1" applyFill="1" applyBorder="1" applyAlignment="1">
      <alignment horizontal="center" vertical="center"/>
    </xf>
    <xf numFmtId="44" fontId="17" fillId="5" borderId="36" xfId="3" applyFont="1" applyFill="1" applyBorder="1" applyAlignment="1">
      <alignment horizontal="center" vertical="center"/>
    </xf>
    <xf numFmtId="44" fontId="17" fillId="5" borderId="42" xfId="3" applyFont="1" applyFill="1" applyBorder="1" applyAlignment="1">
      <alignment horizontal="center" vertical="center"/>
    </xf>
    <xf numFmtId="167" fontId="23" fillId="5" borderId="126" xfId="0" applyNumberFormat="1" applyFont="1" applyFill="1" applyBorder="1" applyAlignment="1">
      <alignment horizontal="center" vertical="center"/>
    </xf>
    <xf numFmtId="167" fontId="23" fillId="5" borderId="111" xfId="0" applyNumberFormat="1" applyFont="1" applyFill="1" applyBorder="1" applyAlignment="1">
      <alignment horizontal="center" vertical="center"/>
    </xf>
    <xf numFmtId="9" fontId="23" fillId="31" borderId="113" xfId="2" applyFont="1" applyFill="1" applyBorder="1" applyAlignment="1">
      <alignment horizontal="center" vertical="center"/>
    </xf>
    <xf numFmtId="8" fontId="17" fillId="5" borderId="36" xfId="3" applyNumberFormat="1" applyFont="1" applyFill="1" applyBorder="1" applyAlignment="1">
      <alignment horizontal="center" vertical="center"/>
    </xf>
    <xf numFmtId="44" fontId="17" fillId="5" borderId="113" xfId="3" applyFont="1" applyFill="1" applyBorder="1" applyAlignment="1">
      <alignment horizontal="center" vertical="center"/>
    </xf>
    <xf numFmtId="9" fontId="17" fillId="31" borderId="128" xfId="2" applyFont="1" applyFill="1" applyBorder="1" applyAlignment="1">
      <alignment horizontal="center" vertical="center"/>
    </xf>
    <xf numFmtId="9" fontId="17" fillId="31" borderId="115" xfId="2" applyFont="1" applyFill="1" applyBorder="1" applyAlignment="1">
      <alignment horizontal="center" vertical="center"/>
    </xf>
    <xf numFmtId="0" fontId="16" fillId="4" borderId="131" xfId="0" applyFont="1" applyFill="1" applyBorder="1" applyAlignment="1">
      <alignment horizontal="center" vertical="center"/>
    </xf>
    <xf numFmtId="0" fontId="16" fillId="4" borderId="137" xfId="0" applyFont="1" applyFill="1" applyBorder="1" applyAlignment="1">
      <alignment horizontal="center" vertical="center" wrapText="1"/>
    </xf>
    <xf numFmtId="0" fontId="16" fillId="3" borderId="138" xfId="0" applyFont="1" applyFill="1" applyBorder="1" applyAlignment="1">
      <alignment horizontal="center" vertical="center" wrapText="1"/>
    </xf>
    <xf numFmtId="169" fontId="12" fillId="15" borderId="132" xfId="1" applyNumberFormat="1" applyFont="1" applyFill="1" applyBorder="1" applyAlignment="1">
      <alignment horizontal="center" vertical="center"/>
    </xf>
    <xf numFmtId="169" fontId="12" fillId="15" borderId="134" xfId="1" applyNumberFormat="1" applyFont="1" applyFill="1" applyBorder="1" applyAlignment="1">
      <alignment horizontal="center" vertical="center"/>
    </xf>
    <xf numFmtId="9" fontId="0" fillId="0" borderId="90" xfId="2" applyFont="1" applyBorder="1" applyAlignment="1">
      <alignment horizontal="center" vertical="center"/>
    </xf>
    <xf numFmtId="9" fontId="0" fillId="0" borderId="91" xfId="2" applyFont="1" applyBorder="1" applyAlignment="1">
      <alignment horizontal="center" vertical="center"/>
    </xf>
    <xf numFmtId="9" fontId="0" fillId="0" borderId="92" xfId="2" applyFont="1" applyBorder="1" applyAlignment="1">
      <alignment horizontal="center" vertical="center"/>
    </xf>
    <xf numFmtId="9" fontId="0" fillId="0" borderId="93" xfId="2" applyFont="1" applyBorder="1" applyAlignment="1">
      <alignment horizontal="center" vertical="center"/>
    </xf>
    <xf numFmtId="9" fontId="0" fillId="0" borderId="1" xfId="2" applyFont="1" applyBorder="1" applyAlignment="1">
      <alignment horizontal="center" vertical="center"/>
    </xf>
    <xf numFmtId="9" fontId="0" fillId="0" borderId="94" xfId="2" applyFont="1" applyBorder="1" applyAlignment="1">
      <alignment horizontal="center" vertical="center"/>
    </xf>
    <xf numFmtId="9" fontId="0" fillId="0" borderId="93" xfId="2" applyFont="1" applyFill="1" applyBorder="1" applyAlignment="1">
      <alignment horizontal="center" vertical="center"/>
    </xf>
    <xf numFmtId="9" fontId="0" fillId="0" borderId="1" xfId="2" applyFont="1" applyFill="1" applyBorder="1" applyAlignment="1">
      <alignment horizontal="center" vertical="center"/>
    </xf>
    <xf numFmtId="9" fontId="0" fillId="0" borderId="94" xfId="2" applyFont="1" applyFill="1" applyBorder="1" applyAlignment="1">
      <alignment horizontal="center" vertical="center"/>
    </xf>
    <xf numFmtId="9" fontId="0" fillId="0" borderId="95" xfId="2" applyFont="1" applyBorder="1" applyAlignment="1">
      <alignment horizontal="center" vertical="center"/>
    </xf>
    <xf numFmtId="9" fontId="0" fillId="0" borderId="96" xfId="2" applyFont="1" applyBorder="1" applyAlignment="1">
      <alignment horizontal="center" vertical="center"/>
    </xf>
    <xf numFmtId="9" fontId="0" fillId="0" borderId="97" xfId="2" applyFont="1" applyBorder="1" applyAlignment="1">
      <alignment horizontal="center" vertical="center"/>
    </xf>
    <xf numFmtId="169" fontId="0" fillId="0" borderId="90" xfId="1" applyNumberFormat="1" applyFont="1" applyBorder="1" applyAlignment="1">
      <alignment horizontal="center" vertical="center"/>
    </xf>
    <xf numFmtId="169" fontId="0" fillId="0" borderId="91" xfId="1" applyNumberFormat="1" applyFont="1" applyBorder="1" applyAlignment="1">
      <alignment horizontal="center" vertical="center"/>
    </xf>
    <xf numFmtId="169" fontId="0" fillId="0" borderId="92" xfId="1" applyNumberFormat="1" applyFont="1" applyBorder="1" applyAlignment="1">
      <alignment horizontal="center" vertical="center"/>
    </xf>
    <xf numFmtId="169" fontId="0" fillId="0" borderId="93" xfId="1" applyNumberFormat="1" applyFont="1" applyBorder="1" applyAlignment="1">
      <alignment horizontal="center" vertical="center"/>
    </xf>
    <xf numFmtId="169" fontId="0" fillId="0" borderId="94" xfId="1" applyNumberFormat="1" applyFont="1" applyBorder="1" applyAlignment="1">
      <alignment horizontal="center" vertical="center"/>
    </xf>
    <xf numFmtId="169" fontId="0" fillId="0" borderId="93" xfId="1" applyNumberFormat="1" applyFont="1" applyFill="1" applyBorder="1" applyAlignment="1">
      <alignment horizontal="center" vertical="center"/>
    </xf>
    <xf numFmtId="169" fontId="0" fillId="0" borderId="94" xfId="1" applyNumberFormat="1" applyFont="1" applyFill="1" applyBorder="1" applyAlignment="1">
      <alignment horizontal="center" vertical="center"/>
    </xf>
    <xf numFmtId="169" fontId="0" fillId="0" borderId="95" xfId="1" applyNumberFormat="1" applyFont="1" applyBorder="1" applyAlignment="1">
      <alignment horizontal="center" vertical="center"/>
    </xf>
    <xf numFmtId="169" fontId="0" fillId="0" borderId="96" xfId="1" applyNumberFormat="1" applyFont="1" applyBorder="1" applyAlignment="1">
      <alignment horizontal="center" vertical="center"/>
    </xf>
    <xf numFmtId="169" fontId="0" fillId="0" borderId="97" xfId="1" applyNumberFormat="1" applyFont="1" applyBorder="1" applyAlignment="1">
      <alignment horizontal="center" vertical="center"/>
    </xf>
    <xf numFmtId="0" fontId="2" fillId="34" borderId="101" xfId="0" applyFont="1" applyFill="1" applyBorder="1" applyAlignment="1">
      <alignment horizontal="center" vertical="center"/>
    </xf>
    <xf numFmtId="165" fontId="0" fillId="15" borderId="93" xfId="3" applyNumberFormat="1" applyFont="1" applyFill="1" applyBorder="1" applyAlignment="1">
      <alignment horizontal="center" vertical="center"/>
    </xf>
    <xf numFmtId="165" fontId="0" fillId="15" borderId="1" xfId="3" applyNumberFormat="1" applyFont="1" applyFill="1" applyBorder="1" applyAlignment="1">
      <alignment horizontal="center" vertical="center"/>
    </xf>
    <xf numFmtId="165" fontId="0" fillId="15" borderId="94" xfId="3" applyNumberFormat="1" applyFont="1" applyFill="1" applyBorder="1" applyAlignment="1">
      <alignment horizontal="center" vertical="center"/>
    </xf>
    <xf numFmtId="165" fontId="0" fillId="15" borderId="91" xfId="3" applyNumberFormat="1" applyFont="1" applyFill="1" applyBorder="1" applyAlignment="1">
      <alignment horizontal="center" vertical="center"/>
    </xf>
    <xf numFmtId="165" fontId="0" fillId="15" borderId="96" xfId="3" applyNumberFormat="1" applyFont="1" applyFill="1" applyBorder="1" applyAlignment="1">
      <alignment horizontal="center" vertical="center"/>
    </xf>
    <xf numFmtId="165" fontId="0" fillId="15" borderId="92" xfId="3" applyNumberFormat="1" applyFont="1" applyFill="1" applyBorder="1" applyAlignment="1">
      <alignment horizontal="center" vertical="center"/>
    </xf>
    <xf numFmtId="165" fontId="0" fillId="15" borderId="97" xfId="3" applyNumberFormat="1" applyFont="1" applyFill="1" applyBorder="1" applyAlignment="1">
      <alignment horizontal="center" vertical="center"/>
    </xf>
    <xf numFmtId="165" fontId="0" fillId="3" borderId="1" xfId="3" applyNumberFormat="1" applyFont="1" applyFill="1" applyBorder="1" applyAlignment="1">
      <alignment horizontal="center" vertical="center"/>
    </xf>
    <xf numFmtId="165" fontId="0" fillId="3" borderId="94" xfId="3" applyNumberFormat="1" applyFont="1" applyFill="1" applyBorder="1" applyAlignment="1">
      <alignment horizontal="center" vertical="center"/>
    </xf>
    <xf numFmtId="0" fontId="35" fillId="32" borderId="101" xfId="0" applyFont="1" applyFill="1" applyBorder="1" applyAlignment="1">
      <alignment horizontal="center" vertical="center"/>
    </xf>
    <xf numFmtId="0" fontId="35" fillId="3" borderId="102" xfId="0" applyFont="1" applyFill="1" applyBorder="1" applyAlignment="1">
      <alignment horizontal="center" vertical="center"/>
    </xf>
    <xf numFmtId="0" fontId="35" fillId="32" borderId="102" xfId="0" applyFont="1" applyFill="1" applyBorder="1" applyAlignment="1">
      <alignment horizontal="center" vertical="center"/>
    </xf>
    <xf numFmtId="0" fontId="35" fillId="3" borderId="103" xfId="0" applyFont="1" applyFill="1" applyBorder="1" applyAlignment="1">
      <alignment horizontal="center" vertical="center"/>
    </xf>
    <xf numFmtId="0" fontId="35" fillId="15" borderId="13" xfId="0" applyFont="1" applyFill="1" applyBorder="1" applyAlignment="1">
      <alignment horizontal="center" vertical="center"/>
    </xf>
    <xf numFmtId="0" fontId="35" fillId="4" borderId="13" xfId="0" applyFont="1" applyFill="1" applyBorder="1" applyAlignment="1">
      <alignment horizontal="center" vertical="center"/>
    </xf>
    <xf numFmtId="0" fontId="35" fillId="15" borderId="99" xfId="0" applyFont="1" applyFill="1" applyBorder="1" applyAlignment="1">
      <alignment horizontal="center" vertical="center"/>
    </xf>
    <xf numFmtId="169" fontId="0" fillId="15" borderId="91" xfId="1" applyNumberFormat="1" applyFont="1" applyFill="1" applyBorder="1" applyAlignment="1">
      <alignment horizontal="center" vertical="center"/>
    </xf>
    <xf numFmtId="169" fontId="0" fillId="15" borderId="92" xfId="1" applyNumberFormat="1" applyFont="1" applyFill="1" applyBorder="1" applyAlignment="1">
      <alignment horizontal="center" vertical="center"/>
    </xf>
    <xf numFmtId="169" fontId="0" fillId="15" borderId="93" xfId="1" applyNumberFormat="1" applyFont="1" applyFill="1" applyBorder="1" applyAlignment="1">
      <alignment horizontal="center" vertical="center"/>
    </xf>
    <xf numFmtId="169" fontId="0" fillId="3" borderId="1" xfId="1" applyNumberFormat="1" applyFont="1" applyFill="1" applyBorder="1" applyAlignment="1">
      <alignment horizontal="center" vertical="center"/>
    </xf>
    <xf numFmtId="169" fontId="0" fillId="15" borderId="1" xfId="1" applyNumberFormat="1" applyFont="1" applyFill="1" applyBorder="1" applyAlignment="1">
      <alignment horizontal="center" vertical="center"/>
    </xf>
    <xf numFmtId="169" fontId="0" fillId="3" borderId="94" xfId="1" applyNumberFormat="1" applyFont="1" applyFill="1" applyBorder="1" applyAlignment="1">
      <alignment horizontal="center" vertical="center"/>
    </xf>
    <xf numFmtId="169" fontId="0" fillId="15" borderId="94" xfId="1" applyNumberFormat="1" applyFont="1" applyFill="1" applyBorder="1" applyAlignment="1">
      <alignment horizontal="center" vertical="center"/>
    </xf>
    <xf numFmtId="169" fontId="0" fillId="15" borderId="96" xfId="1" applyNumberFormat="1" applyFont="1" applyFill="1" applyBorder="1" applyAlignment="1">
      <alignment horizontal="center" vertical="center"/>
    </xf>
    <xf numFmtId="169" fontId="0" fillId="15" borderId="97" xfId="1" applyNumberFormat="1" applyFont="1" applyFill="1" applyBorder="1" applyAlignment="1">
      <alignment horizontal="center" vertical="center"/>
    </xf>
    <xf numFmtId="9" fontId="0" fillId="15" borderId="91" xfId="2" applyFont="1" applyFill="1" applyBorder="1" applyAlignment="1">
      <alignment horizontal="center" vertical="center"/>
    </xf>
    <xf numFmtId="9" fontId="0" fillId="15" borderId="92" xfId="2" applyFont="1" applyFill="1" applyBorder="1" applyAlignment="1">
      <alignment horizontal="center" vertical="center"/>
    </xf>
    <xf numFmtId="9" fontId="0" fillId="15" borderId="93" xfId="2" applyFont="1" applyFill="1" applyBorder="1" applyAlignment="1">
      <alignment horizontal="center" vertical="center"/>
    </xf>
    <xf numFmtId="9" fontId="0" fillId="3" borderId="1" xfId="2" applyFont="1" applyFill="1" applyBorder="1" applyAlignment="1">
      <alignment horizontal="center" vertical="center"/>
    </xf>
    <xf numFmtId="9" fontId="0" fillId="15" borderId="1" xfId="2" applyFont="1" applyFill="1" applyBorder="1" applyAlignment="1">
      <alignment horizontal="center" vertical="center"/>
    </xf>
    <xf numFmtId="9" fontId="0" fillId="3" borderId="94" xfId="2" applyFont="1" applyFill="1" applyBorder="1" applyAlignment="1">
      <alignment horizontal="center" vertical="center"/>
    </xf>
    <xf numFmtId="9" fontId="0" fillId="15" borderId="94" xfId="2" applyFont="1" applyFill="1" applyBorder="1" applyAlignment="1">
      <alignment horizontal="center" vertical="center"/>
    </xf>
    <xf numFmtId="9" fontId="0" fillId="15" borderId="96" xfId="2" applyFont="1" applyFill="1" applyBorder="1" applyAlignment="1">
      <alignment horizontal="center" vertical="center"/>
    </xf>
    <xf numFmtId="9" fontId="0" fillId="15" borderId="97" xfId="2" applyFont="1" applyFill="1" applyBorder="1" applyAlignment="1">
      <alignment horizontal="center" vertical="center"/>
    </xf>
    <xf numFmtId="165" fontId="16" fillId="29" borderId="111" xfId="3" applyNumberFormat="1" applyFont="1" applyFill="1" applyBorder="1" applyAlignment="1" applyProtection="1">
      <alignment horizontal="center" vertical="center"/>
      <protection locked="0"/>
    </xf>
    <xf numFmtId="165" fontId="16" fillId="29" borderId="113" xfId="3" applyNumberFormat="1" applyFont="1" applyFill="1" applyBorder="1" applyAlignment="1" applyProtection="1">
      <alignment horizontal="center" vertical="center"/>
      <protection locked="0"/>
    </xf>
    <xf numFmtId="44" fontId="16" fillId="29" borderId="113" xfId="3" applyFont="1" applyFill="1" applyBorder="1" applyAlignment="1" applyProtection="1">
      <alignment horizontal="center" vertical="center"/>
      <protection locked="0"/>
    </xf>
    <xf numFmtId="166" fontId="16" fillId="29" borderId="113" xfId="3" applyNumberFormat="1" applyFont="1" applyFill="1" applyBorder="1" applyAlignment="1" applyProtection="1">
      <alignment horizontal="center" vertical="center"/>
      <protection locked="0"/>
    </xf>
    <xf numFmtId="166" fontId="16" fillId="29" borderId="115" xfId="3" applyNumberFormat="1" applyFont="1" applyFill="1" applyBorder="1" applyAlignment="1" applyProtection="1">
      <alignment horizontal="center" vertical="center"/>
      <protection locked="0"/>
    </xf>
    <xf numFmtId="164" fontId="16" fillId="29" borderId="111" xfId="1" applyNumberFormat="1" applyFont="1" applyFill="1" applyBorder="1" applyAlignment="1" applyProtection="1">
      <alignment horizontal="center" vertical="center"/>
      <protection locked="0"/>
    </xf>
    <xf numFmtId="164" fontId="16" fillId="29" borderId="113" xfId="1" applyNumberFormat="1" applyFont="1" applyFill="1" applyBorder="1" applyAlignment="1" applyProtection="1">
      <alignment horizontal="center" vertical="center"/>
      <protection locked="0"/>
    </xf>
    <xf numFmtId="170" fontId="16" fillId="29" borderId="113" xfId="2" applyNumberFormat="1" applyFont="1" applyFill="1" applyBorder="1" applyAlignment="1" applyProtection="1">
      <alignment horizontal="center" vertical="center"/>
      <protection locked="0"/>
    </xf>
    <xf numFmtId="170" fontId="16" fillId="29" borderId="115" xfId="2" applyNumberFormat="1" applyFont="1" applyFill="1" applyBorder="1" applyAlignment="1" applyProtection="1">
      <alignment horizontal="center" vertical="center"/>
      <protection locked="0"/>
    </xf>
    <xf numFmtId="43" fontId="16" fillId="29" borderId="40" xfId="1" applyFont="1" applyFill="1" applyBorder="1" applyAlignment="1" applyProtection="1">
      <alignment horizontal="center" vertical="center"/>
      <protection locked="0"/>
    </xf>
    <xf numFmtId="43" fontId="16" fillId="29" borderId="45" xfId="1" applyFont="1" applyFill="1" applyBorder="1" applyAlignment="1" applyProtection="1">
      <alignment horizontal="center" vertical="center"/>
      <protection locked="0"/>
    </xf>
    <xf numFmtId="165" fontId="16" fillId="29" borderId="115" xfId="3" applyNumberFormat="1" applyFont="1" applyFill="1" applyBorder="1" applyAlignment="1" applyProtection="1">
      <alignment horizontal="center" vertical="center"/>
      <protection locked="0"/>
    </xf>
    <xf numFmtId="164" fontId="16" fillId="29" borderId="115" xfId="1" applyNumberFormat="1" applyFont="1" applyFill="1" applyBorder="1" applyAlignment="1" applyProtection="1">
      <alignment horizontal="center" vertical="center"/>
      <protection locked="0"/>
    </xf>
    <xf numFmtId="9" fontId="16" fillId="29" borderId="111" xfId="2" applyFont="1" applyFill="1" applyBorder="1" applyAlignment="1" applyProtection="1">
      <alignment horizontal="center" vertical="center"/>
      <protection locked="0"/>
    </xf>
    <xf numFmtId="0" fontId="16" fillId="29" borderId="109" xfId="0" applyFont="1" applyFill="1" applyBorder="1" applyAlignment="1" applyProtection="1">
      <alignment horizontal="center" vertical="center"/>
      <protection locked="0"/>
    </xf>
    <xf numFmtId="0" fontId="16" fillId="29" borderId="112" xfId="0" applyFont="1" applyFill="1" applyBorder="1" applyAlignment="1" applyProtection="1">
      <alignment horizontal="center" vertical="center"/>
      <protection locked="0"/>
    </xf>
    <xf numFmtId="0" fontId="16" fillId="29" borderId="113" xfId="0" applyFont="1" applyFill="1" applyBorder="1" applyAlignment="1" applyProtection="1">
      <alignment horizontal="center" vertical="center"/>
      <protection locked="0"/>
    </xf>
    <xf numFmtId="168" fontId="16" fillId="29" borderId="114" xfId="0" applyNumberFormat="1" applyFont="1" applyFill="1" applyBorder="1" applyAlignment="1" applyProtection="1">
      <alignment horizontal="center" vertical="center"/>
      <protection locked="0"/>
    </xf>
    <xf numFmtId="168" fontId="16" fillId="29" borderId="115" xfId="0" applyNumberFormat="1" applyFont="1" applyFill="1" applyBorder="1" applyAlignment="1" applyProtection="1">
      <alignment horizontal="center" vertical="center"/>
      <protection locked="0"/>
    </xf>
    <xf numFmtId="0" fontId="16" fillId="29" borderId="124" xfId="0" applyFont="1" applyFill="1" applyBorder="1" applyAlignment="1" applyProtection="1">
      <alignment horizontal="center" vertical="center"/>
      <protection locked="0"/>
    </xf>
    <xf numFmtId="0" fontId="21" fillId="30" borderId="159" xfId="0" applyFont="1" applyFill="1" applyBorder="1" applyAlignment="1">
      <alignment horizontal="center" vertical="center" wrapText="1"/>
    </xf>
    <xf numFmtId="165" fontId="12" fillId="30" borderId="160" xfId="0" applyNumberFormat="1" applyFont="1" applyFill="1" applyBorder="1" applyAlignment="1">
      <alignment horizontal="center" vertical="center"/>
    </xf>
    <xf numFmtId="0" fontId="21" fillId="30" borderId="161" xfId="0" applyFont="1" applyFill="1" applyBorder="1" applyAlignment="1">
      <alignment horizontal="center" vertical="center" wrapText="1"/>
    </xf>
    <xf numFmtId="165" fontId="12" fillId="30" borderId="162" xfId="0" applyNumberFormat="1" applyFont="1" applyFill="1" applyBorder="1" applyAlignment="1">
      <alignment horizontal="center" vertical="center"/>
    </xf>
    <xf numFmtId="0" fontId="27" fillId="0" borderId="0" xfId="0" applyFont="1" applyFill="1" applyBorder="1" applyAlignment="1">
      <alignment vertical="center"/>
    </xf>
    <xf numFmtId="0" fontId="12" fillId="0" borderId="0" xfId="0" applyFont="1" applyAlignment="1">
      <alignment horizontal="left" vertical="center"/>
    </xf>
    <xf numFmtId="0" fontId="12" fillId="32" borderId="0" xfId="0" applyFont="1" applyFill="1" applyAlignment="1">
      <alignment horizontal="center" vertical="center"/>
    </xf>
    <xf numFmtId="0" fontId="12" fillId="0" borderId="0" xfId="0" applyFont="1" applyFill="1" applyAlignment="1">
      <alignment horizontal="center" vertical="center"/>
    </xf>
    <xf numFmtId="166" fontId="27" fillId="0" borderId="0" xfId="3" applyNumberFormat="1" applyFont="1" applyFill="1" applyBorder="1" applyAlignment="1">
      <alignment horizontal="left" vertical="center"/>
    </xf>
    <xf numFmtId="166" fontId="27" fillId="0" borderId="0" xfId="3" applyNumberFormat="1" applyFont="1" applyFill="1" applyBorder="1" applyAlignment="1">
      <alignment horizontal="center" vertical="center"/>
    </xf>
    <xf numFmtId="0" fontId="27" fillId="0" borderId="72" xfId="0" applyFont="1" applyFill="1" applyBorder="1" applyAlignment="1">
      <alignment horizontal="left" vertical="center"/>
    </xf>
    <xf numFmtId="0" fontId="27" fillId="0" borderId="0" xfId="0" applyFont="1" applyFill="1" applyAlignment="1">
      <alignment horizontal="left" vertical="center"/>
    </xf>
    <xf numFmtId="0" fontId="27" fillId="0" borderId="0" xfId="0" applyFont="1" applyFill="1" applyBorder="1" applyAlignment="1">
      <alignment horizontal="left" vertical="center"/>
    </xf>
    <xf numFmtId="9" fontId="27" fillId="0" borderId="0" xfId="2" applyFont="1" applyFill="1" applyBorder="1" applyAlignment="1">
      <alignment horizontal="left" vertical="center"/>
    </xf>
    <xf numFmtId="0" fontId="26" fillId="31" borderId="71" xfId="0" applyFont="1" applyFill="1" applyBorder="1" applyAlignment="1">
      <alignment horizontal="center" vertical="center"/>
    </xf>
    <xf numFmtId="0" fontId="26" fillId="31" borderId="63" xfId="0" applyFont="1" applyFill="1" applyBorder="1" applyAlignment="1">
      <alignment horizontal="center" vertical="center"/>
    </xf>
    <xf numFmtId="0" fontId="26" fillId="31" borderId="64" xfId="0" applyFont="1" applyFill="1" applyBorder="1" applyAlignment="1">
      <alignment horizontal="center" vertical="center"/>
    </xf>
    <xf numFmtId="0" fontId="16" fillId="3" borderId="142" xfId="0" applyFont="1" applyFill="1" applyBorder="1" applyAlignment="1">
      <alignment horizontal="center" vertical="center"/>
    </xf>
    <xf numFmtId="0" fontId="16" fillId="3" borderId="137" xfId="0" applyFont="1" applyFill="1" applyBorder="1" applyAlignment="1">
      <alignment horizontal="center" vertical="center"/>
    </xf>
    <xf numFmtId="9" fontId="16" fillId="29" borderId="113" xfId="2" applyFont="1" applyFill="1" applyBorder="1" applyAlignment="1" applyProtection="1">
      <alignment horizontal="center" vertical="center"/>
      <protection locked="0"/>
    </xf>
    <xf numFmtId="0" fontId="12" fillId="0" borderId="0" xfId="0" applyFont="1" applyFill="1" applyBorder="1" applyAlignment="1">
      <alignment horizontal="center" vertical="center"/>
    </xf>
    <xf numFmtId="165" fontId="16" fillId="29" borderId="164" xfId="3" applyNumberFormat="1" applyFont="1" applyFill="1" applyBorder="1" applyAlignment="1" applyProtection="1">
      <alignment horizontal="center" vertical="center"/>
      <protection locked="0"/>
    </xf>
    <xf numFmtId="0" fontId="14" fillId="0" borderId="19" xfId="0" applyFont="1" applyFill="1" applyBorder="1" applyAlignment="1">
      <alignment horizontal="center" vertical="center" wrapText="1"/>
    </xf>
    <xf numFmtId="0" fontId="14" fillId="15" borderId="110" xfId="0" applyFont="1" applyFill="1" applyBorder="1" applyAlignment="1">
      <alignment horizontal="center" vertical="center" wrapText="1"/>
    </xf>
    <xf numFmtId="0" fontId="14" fillId="15" borderId="165"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14" fillId="15" borderId="112" xfId="0" applyFont="1" applyFill="1" applyBorder="1" applyAlignment="1">
      <alignment horizontal="center" vertical="center" wrapText="1"/>
    </xf>
    <xf numFmtId="44" fontId="14" fillId="15" borderId="127" xfId="3" applyFont="1" applyFill="1" applyBorder="1" applyAlignment="1">
      <alignment horizontal="center" vertical="center" wrapText="1"/>
    </xf>
    <xf numFmtId="44" fontId="14" fillId="15" borderId="127" xfId="3" applyFont="1" applyFill="1" applyBorder="1" applyAlignment="1" applyProtection="1">
      <alignment horizontal="center" vertical="center" wrapText="1"/>
    </xf>
    <xf numFmtId="0" fontId="13" fillId="0" borderId="0" xfId="0" applyFont="1" applyFill="1" applyAlignment="1">
      <alignment vertical="center"/>
    </xf>
    <xf numFmtId="0" fontId="12" fillId="0" borderId="22" xfId="0" applyFont="1" applyFill="1" applyBorder="1" applyAlignment="1">
      <alignment horizontal="center" vertical="center"/>
    </xf>
    <xf numFmtId="0" fontId="14" fillId="3" borderId="144" xfId="0" applyFont="1" applyFill="1" applyBorder="1" applyAlignment="1">
      <alignment horizontal="center" vertical="center" wrapText="1"/>
    </xf>
    <xf numFmtId="0" fontId="14" fillId="3" borderId="166" xfId="0" applyFont="1" applyFill="1" applyBorder="1" applyAlignment="1">
      <alignment horizontal="center" vertical="center" wrapText="1"/>
    </xf>
    <xf numFmtId="0" fontId="12" fillId="0" borderId="167" xfId="0" applyFont="1" applyBorder="1" applyAlignment="1">
      <alignment horizontal="center" vertical="center"/>
    </xf>
    <xf numFmtId="0" fontId="12" fillId="0" borderId="168" xfId="0" applyFont="1" applyBorder="1" applyAlignment="1">
      <alignment horizontal="center" vertical="center"/>
    </xf>
    <xf numFmtId="0" fontId="16" fillId="4" borderId="170" xfId="0" applyFont="1" applyFill="1" applyBorder="1" applyAlignment="1">
      <alignment horizontal="center" vertical="center" wrapText="1"/>
    </xf>
    <xf numFmtId="0" fontId="14" fillId="15" borderId="171" xfId="0" applyFont="1" applyFill="1" applyBorder="1" applyAlignment="1">
      <alignment horizontal="center" vertical="center" wrapText="1"/>
    </xf>
    <xf numFmtId="0" fontId="14" fillId="15" borderId="172" xfId="0" applyFont="1" applyFill="1" applyBorder="1" applyAlignment="1">
      <alignment horizontal="center" vertical="center" wrapText="1"/>
    </xf>
    <xf numFmtId="0" fontId="21" fillId="15" borderId="171" xfId="0" applyFont="1" applyFill="1" applyBorder="1" applyAlignment="1">
      <alignment horizontal="center" vertical="center" wrapText="1"/>
    </xf>
    <xf numFmtId="164" fontId="16" fillId="29" borderId="113" xfId="1" applyNumberFormat="1" applyFont="1" applyFill="1" applyBorder="1" applyAlignment="1" applyProtection="1">
      <alignment horizontal="center" vertical="center"/>
    </xf>
    <xf numFmtId="0" fontId="16" fillId="29" borderId="173" xfId="0" applyFont="1" applyFill="1" applyBorder="1" applyAlignment="1" applyProtection="1">
      <alignment horizontal="center" vertical="center"/>
      <protection locked="0"/>
    </xf>
    <xf numFmtId="168" fontId="16" fillId="29" borderId="174" xfId="0" applyNumberFormat="1" applyFont="1" applyFill="1" applyBorder="1" applyAlignment="1" applyProtection="1">
      <alignment horizontal="center" vertical="center"/>
      <protection locked="0"/>
    </xf>
    <xf numFmtId="168" fontId="16" fillId="29" borderId="149" xfId="0" applyNumberFormat="1" applyFont="1" applyFill="1" applyBorder="1" applyAlignment="1" applyProtection="1">
      <alignment horizontal="center" vertical="center"/>
      <protection locked="0"/>
    </xf>
    <xf numFmtId="0" fontId="16" fillId="29" borderId="175" xfId="0" applyFont="1" applyFill="1" applyBorder="1" applyAlignment="1" applyProtection="1">
      <alignment horizontal="center" vertical="center"/>
      <protection locked="0"/>
    </xf>
    <xf numFmtId="168" fontId="16" fillId="29" borderId="144" xfId="0" applyNumberFormat="1" applyFont="1" applyFill="1" applyBorder="1" applyAlignment="1" applyProtection="1">
      <alignment horizontal="center" vertical="center"/>
      <protection locked="0"/>
    </xf>
    <xf numFmtId="168" fontId="16" fillId="29" borderId="136" xfId="0" applyNumberFormat="1" applyFont="1" applyFill="1" applyBorder="1" applyAlignment="1" applyProtection="1">
      <alignment horizontal="center" vertical="center"/>
      <protection locked="0"/>
    </xf>
    <xf numFmtId="0" fontId="16" fillId="29" borderId="176" xfId="0" applyFont="1" applyFill="1" applyBorder="1" applyAlignment="1" applyProtection="1">
      <alignment horizontal="center" vertical="center"/>
      <protection locked="0"/>
    </xf>
    <xf numFmtId="0" fontId="16" fillId="29" borderId="177" xfId="0" applyFont="1" applyFill="1" applyBorder="1" applyAlignment="1" applyProtection="1">
      <alignment horizontal="center" vertical="center"/>
      <protection locked="0"/>
    </xf>
    <xf numFmtId="0" fontId="16" fillId="4" borderId="110" xfId="0" applyFont="1" applyFill="1" applyBorder="1" applyAlignment="1">
      <alignment horizontal="center" vertical="center" wrapText="1"/>
    </xf>
    <xf numFmtId="0" fontId="16" fillId="4" borderId="183" xfId="0" applyFont="1" applyFill="1" applyBorder="1" applyAlignment="1">
      <alignment horizontal="center" vertical="center" wrapText="1"/>
    </xf>
    <xf numFmtId="0" fontId="16" fillId="4" borderId="119" xfId="0" applyFont="1" applyFill="1" applyBorder="1" applyAlignment="1">
      <alignment horizontal="center" vertical="center" wrapText="1"/>
    </xf>
    <xf numFmtId="0" fontId="16" fillId="4" borderId="184" xfId="0" applyFont="1" applyFill="1" applyBorder="1" applyAlignment="1">
      <alignment horizontal="center" vertical="center" wrapText="1"/>
    </xf>
    <xf numFmtId="0" fontId="21" fillId="15" borderId="187" xfId="0" applyFont="1" applyFill="1" applyBorder="1" applyAlignment="1">
      <alignment horizontal="center" vertical="center" wrapText="1"/>
    </xf>
    <xf numFmtId="0" fontId="21" fillId="30" borderId="163" xfId="0" applyFont="1" applyFill="1" applyBorder="1" applyAlignment="1">
      <alignment horizontal="center" vertical="center" wrapText="1"/>
    </xf>
    <xf numFmtId="0" fontId="21" fillId="15" borderId="163" xfId="0" applyFont="1" applyFill="1" applyBorder="1" applyAlignment="1">
      <alignment horizontal="center" vertical="center" wrapText="1"/>
    </xf>
    <xf numFmtId="0" fontId="21" fillId="30" borderId="181" xfId="0" applyFont="1" applyFill="1" applyBorder="1" applyAlignment="1">
      <alignment horizontal="center" vertical="center" wrapText="1"/>
    </xf>
    <xf numFmtId="0" fontId="24" fillId="3" borderId="182" xfId="0" applyFont="1" applyFill="1" applyBorder="1" applyAlignment="1">
      <alignment horizontal="center" vertical="center" wrapText="1"/>
    </xf>
    <xf numFmtId="165" fontId="12" fillId="15" borderId="188" xfId="0" applyNumberFormat="1" applyFont="1" applyFill="1" applyBorder="1" applyAlignment="1">
      <alignment horizontal="center" vertical="center"/>
    </xf>
    <xf numFmtId="165" fontId="12" fillId="30" borderId="189" xfId="0" applyNumberFormat="1" applyFont="1" applyFill="1" applyBorder="1" applyAlignment="1">
      <alignment horizontal="center" vertical="center"/>
    </xf>
    <xf numFmtId="165" fontId="12" fillId="15" borderId="189" xfId="0" applyNumberFormat="1" applyFont="1" applyFill="1" applyBorder="1" applyAlignment="1">
      <alignment horizontal="center" vertical="center"/>
    </xf>
    <xf numFmtId="165" fontId="25" fillId="3" borderId="109" xfId="0" applyNumberFormat="1" applyFont="1" applyFill="1" applyBorder="1" applyAlignment="1">
      <alignment horizontal="center" vertical="center"/>
    </xf>
    <xf numFmtId="0" fontId="28" fillId="0" borderId="72" xfId="0" applyFont="1" applyBorder="1" applyAlignment="1">
      <alignment horizontal="center" vertical="center" wrapText="1"/>
    </xf>
    <xf numFmtId="0" fontId="28" fillId="0" borderId="0" xfId="0" applyFont="1" applyBorder="1" applyAlignment="1">
      <alignment horizontal="center" vertical="center" wrapText="1"/>
    </xf>
    <xf numFmtId="0" fontId="19" fillId="26" borderId="49" xfId="17" applyFont="1" applyBorder="1" applyAlignment="1">
      <alignment horizontal="center" vertical="center" wrapText="1"/>
    </xf>
    <xf numFmtId="0" fontId="19" fillId="26" borderId="51" xfId="17" applyFont="1" applyBorder="1" applyAlignment="1">
      <alignment horizontal="center" vertical="center" wrapText="1"/>
    </xf>
    <xf numFmtId="0" fontId="22" fillId="18" borderId="49" xfId="9" applyFont="1" applyBorder="1" applyAlignment="1">
      <alignment horizontal="center" vertical="center" wrapText="1"/>
    </xf>
    <xf numFmtId="0" fontId="22" fillId="18" borderId="50" xfId="9" applyFont="1" applyBorder="1" applyAlignment="1">
      <alignment horizontal="center" vertical="center" wrapText="1"/>
    </xf>
    <xf numFmtId="0" fontId="22" fillId="18" borderId="51" xfId="9" applyFont="1" applyBorder="1" applyAlignment="1">
      <alignment horizontal="center" vertical="center" wrapText="1"/>
    </xf>
    <xf numFmtId="0" fontId="12" fillId="0" borderId="72" xfId="0" applyFont="1" applyFill="1" applyBorder="1" applyAlignment="1">
      <alignment horizontal="center" vertical="center"/>
    </xf>
    <xf numFmtId="0" fontId="12" fillId="0" borderId="0" xfId="0" applyFont="1" applyFill="1" applyAlignment="1">
      <alignment horizontal="center" vertical="center"/>
    </xf>
    <xf numFmtId="0" fontId="19" fillId="16" borderId="49" xfId="7" applyFont="1" applyBorder="1" applyAlignment="1">
      <alignment horizontal="center" vertical="center" wrapText="1"/>
    </xf>
    <xf numFmtId="0" fontId="19" fillId="16" borderId="50" xfId="7" applyFont="1" applyBorder="1" applyAlignment="1">
      <alignment horizontal="center" vertical="center" wrapText="1"/>
    </xf>
    <xf numFmtId="0" fontId="19" fillId="16" borderId="54" xfId="7" applyFont="1" applyBorder="1" applyAlignment="1">
      <alignment horizontal="center" vertical="center" wrapText="1"/>
    </xf>
    <xf numFmtId="0" fontId="19" fillId="16" borderId="51" xfId="7" applyFont="1" applyBorder="1" applyAlignment="1">
      <alignment horizontal="center" vertical="center" wrapText="1"/>
    </xf>
    <xf numFmtId="0" fontId="13" fillId="0" borderId="38" xfId="0" applyFont="1" applyFill="1" applyBorder="1" applyAlignment="1">
      <alignment horizontal="center" vertical="center" wrapText="1"/>
    </xf>
    <xf numFmtId="0" fontId="13" fillId="0" borderId="40" xfId="0" applyFont="1" applyFill="1" applyBorder="1" applyAlignment="1">
      <alignment horizontal="center" vertical="center" wrapText="1"/>
    </xf>
    <xf numFmtId="0" fontId="13" fillId="0" borderId="41" xfId="0" applyFont="1" applyFill="1" applyBorder="1" applyAlignment="1">
      <alignment horizontal="center" vertical="center" wrapText="1"/>
    </xf>
    <xf numFmtId="0" fontId="13" fillId="0" borderId="42"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43" xfId="0" applyFont="1" applyFill="1" applyBorder="1" applyAlignment="1">
      <alignment horizontal="center" vertical="center" wrapText="1"/>
    </xf>
    <xf numFmtId="0" fontId="13" fillId="0" borderId="45" xfId="0" applyFont="1" applyFill="1" applyBorder="1" applyAlignment="1">
      <alignment horizontal="center" vertical="center" wrapText="1"/>
    </xf>
    <xf numFmtId="0" fontId="16" fillId="3" borderId="61" xfId="0" applyFont="1" applyFill="1" applyBorder="1" applyAlignment="1">
      <alignment horizontal="center" vertical="center"/>
    </xf>
    <xf numFmtId="0" fontId="16" fillId="3" borderId="53" xfId="0" applyFont="1" applyFill="1" applyBorder="1" applyAlignment="1">
      <alignment horizontal="center" vertical="center"/>
    </xf>
    <xf numFmtId="0" fontId="16" fillId="22" borderId="49" xfId="13" applyFont="1" applyBorder="1" applyAlignment="1">
      <alignment horizontal="center" vertical="center" wrapText="1"/>
    </xf>
    <xf numFmtId="0" fontId="16" fillId="22" borderId="51" xfId="13" applyFont="1" applyBorder="1" applyAlignment="1">
      <alignment horizontal="center" vertical="center" wrapText="1"/>
    </xf>
    <xf numFmtId="0" fontId="13" fillId="0" borderId="71" xfId="0" applyFont="1" applyFill="1" applyBorder="1" applyAlignment="1">
      <alignment horizontal="center" vertical="center" wrapText="1"/>
    </xf>
    <xf numFmtId="0" fontId="13" fillId="0" borderId="63" xfId="0" applyFont="1" applyFill="1" applyBorder="1" applyAlignment="1">
      <alignment horizontal="center" vertical="center" wrapText="1"/>
    </xf>
    <xf numFmtId="0" fontId="13" fillId="0" borderId="64" xfId="0" applyFont="1" applyFill="1" applyBorder="1" applyAlignment="1">
      <alignment horizontal="center" vertical="center" wrapText="1"/>
    </xf>
    <xf numFmtId="0" fontId="13" fillId="0" borderId="73" xfId="0" applyFont="1" applyFill="1" applyBorder="1" applyAlignment="1">
      <alignment horizontal="center" vertical="center" wrapText="1"/>
    </xf>
    <xf numFmtId="0" fontId="13" fillId="0" borderId="67" xfId="0" applyFont="1" applyFill="1" applyBorder="1" applyAlignment="1">
      <alignment horizontal="center" vertical="center" wrapText="1"/>
    </xf>
    <xf numFmtId="0" fontId="13" fillId="0" borderId="68" xfId="0" applyFont="1" applyFill="1" applyBorder="1" applyAlignment="1">
      <alignment horizontal="center" vertical="center" wrapText="1"/>
    </xf>
    <xf numFmtId="0" fontId="16" fillId="24" borderId="49" xfId="15" applyFont="1" applyBorder="1" applyAlignment="1">
      <alignment horizontal="center" vertical="center" wrapText="1"/>
    </xf>
    <xf numFmtId="0" fontId="16" fillId="24" borderId="50" xfId="15" applyFont="1" applyBorder="1" applyAlignment="1">
      <alignment horizontal="center" vertical="center" wrapText="1"/>
    </xf>
    <xf numFmtId="0" fontId="16" fillId="24" borderId="51" xfId="15" applyFont="1" applyBorder="1" applyAlignment="1">
      <alignment horizontal="center" vertical="center" wrapText="1"/>
    </xf>
    <xf numFmtId="0" fontId="13" fillId="0" borderId="72"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65" xfId="0" applyFont="1" applyFill="1" applyBorder="1" applyAlignment="1">
      <alignment horizontal="center" vertical="center" wrapText="1"/>
    </xf>
    <xf numFmtId="0" fontId="16" fillId="28" borderId="49" xfId="19" applyFont="1" applyBorder="1" applyAlignment="1">
      <alignment horizontal="center" vertical="center" wrapText="1"/>
    </xf>
    <xf numFmtId="0" fontId="16" fillId="28" borderId="50" xfId="19" applyFont="1" applyBorder="1" applyAlignment="1">
      <alignment horizontal="center" vertical="center" wrapText="1"/>
    </xf>
    <xf numFmtId="0" fontId="16" fillId="28" borderId="51" xfId="19" applyFont="1" applyBorder="1" applyAlignment="1">
      <alignment horizontal="center" vertical="center" wrapText="1"/>
    </xf>
    <xf numFmtId="0" fontId="13" fillId="0" borderId="39" xfId="0" applyFont="1" applyFill="1" applyBorder="1" applyAlignment="1">
      <alignment horizontal="center" vertical="center" wrapText="1"/>
    </xf>
    <xf numFmtId="0" fontId="28" fillId="0" borderId="72" xfId="0" applyFont="1" applyBorder="1" applyAlignment="1">
      <alignment horizontal="center" vertical="center"/>
    </xf>
    <xf numFmtId="0" fontId="28" fillId="0" borderId="0" xfId="0" applyFont="1" applyBorder="1" applyAlignment="1">
      <alignment horizontal="center" vertical="center"/>
    </xf>
    <xf numFmtId="0" fontId="13" fillId="0" borderId="107" xfId="0" applyFont="1" applyFill="1" applyBorder="1" applyAlignment="1">
      <alignment horizontal="center" vertical="center" wrapText="1"/>
    </xf>
    <xf numFmtId="0" fontId="13" fillId="0" borderId="79" xfId="0" applyFont="1" applyFill="1" applyBorder="1" applyAlignment="1">
      <alignment horizontal="center" vertical="center" wrapText="1"/>
    </xf>
    <xf numFmtId="0" fontId="30" fillId="0" borderId="59" xfId="0" applyFont="1" applyFill="1" applyBorder="1" applyAlignment="1">
      <alignment horizontal="center" vertical="center" wrapText="1"/>
    </xf>
    <xf numFmtId="0" fontId="30" fillId="0" borderId="83" xfId="0" applyFont="1" applyFill="1" applyBorder="1" applyAlignment="1">
      <alignment horizontal="center" vertical="center" wrapText="1"/>
    </xf>
    <xf numFmtId="0" fontId="12" fillId="15" borderId="71" xfId="0" applyFont="1" applyFill="1" applyBorder="1" applyAlignment="1">
      <alignment horizontal="center" vertical="center"/>
    </xf>
    <xf numFmtId="0" fontId="12" fillId="15" borderId="73" xfId="0" applyFont="1" applyFill="1" applyBorder="1" applyAlignment="1">
      <alignment horizontal="center" vertical="center"/>
    </xf>
    <xf numFmtId="0" fontId="12" fillId="0" borderId="71" xfId="0" applyFont="1" applyFill="1" applyBorder="1" applyAlignment="1">
      <alignment horizontal="center" vertical="center"/>
    </xf>
    <xf numFmtId="0" fontId="12" fillId="0" borderId="73" xfId="0" applyFont="1" applyFill="1" applyBorder="1" applyAlignment="1">
      <alignment horizontal="center" vertical="center"/>
    </xf>
    <xf numFmtId="0" fontId="12" fillId="15" borderId="81" xfId="0" applyFont="1" applyFill="1" applyBorder="1" applyAlignment="1">
      <alignment horizontal="center" vertical="center"/>
    </xf>
    <xf numFmtId="0" fontId="12" fillId="15" borderId="82" xfId="0" applyFont="1" applyFill="1" applyBorder="1" applyAlignment="1">
      <alignment horizontal="center" vertical="center"/>
    </xf>
    <xf numFmtId="0" fontId="16" fillId="20" borderId="38" xfId="11" applyFont="1" applyBorder="1" applyAlignment="1">
      <alignment horizontal="center" vertical="center" wrapText="1"/>
    </xf>
    <xf numFmtId="0" fontId="16" fillId="20" borderId="54" xfId="11" applyFont="1" applyBorder="1" applyAlignment="1">
      <alignment horizontal="center" vertical="center" wrapText="1"/>
    </xf>
    <xf numFmtId="0" fontId="16" fillId="20" borderId="55" xfId="11" applyFont="1" applyBorder="1" applyAlignment="1">
      <alignment horizontal="center" vertical="center" wrapText="1"/>
    </xf>
    <xf numFmtId="166" fontId="27" fillId="0" borderId="72" xfId="3" applyNumberFormat="1" applyFont="1" applyFill="1" applyBorder="1" applyAlignment="1">
      <alignment horizontal="left" vertical="center"/>
    </xf>
    <xf numFmtId="166" fontId="27" fillId="0" borderId="0" xfId="3" applyNumberFormat="1" applyFont="1" applyFill="1" applyBorder="1" applyAlignment="1">
      <alignment horizontal="left" vertical="center"/>
    </xf>
    <xf numFmtId="0" fontId="16" fillId="24" borderId="81" xfId="15" applyFont="1" applyBorder="1" applyAlignment="1">
      <alignment horizontal="center" vertical="center" wrapText="1"/>
    </xf>
    <xf numFmtId="0" fontId="16" fillId="24" borderId="89" xfId="15" applyFont="1" applyBorder="1" applyAlignment="1">
      <alignment horizontal="center" vertical="center" wrapText="1"/>
    </xf>
    <xf numFmtId="0" fontId="16" fillId="24" borderId="82" xfId="15" applyFont="1" applyBorder="1" applyAlignment="1">
      <alignment horizontal="center" vertical="center" wrapText="1"/>
    </xf>
    <xf numFmtId="0" fontId="12" fillId="32" borderId="89" xfId="0" applyFont="1" applyFill="1" applyBorder="1" applyAlignment="1">
      <alignment horizontal="center" vertical="center"/>
    </xf>
    <xf numFmtId="0" fontId="16" fillId="20" borderId="49" xfId="11" applyFont="1" applyBorder="1" applyAlignment="1">
      <alignment horizontal="center" vertical="center" wrapText="1"/>
    </xf>
    <xf numFmtId="0" fontId="16" fillId="20" borderId="50" xfId="11" applyFont="1" applyBorder="1" applyAlignment="1">
      <alignment horizontal="center" vertical="center" wrapText="1"/>
    </xf>
    <xf numFmtId="0" fontId="16" fillId="20" borderId="51" xfId="11" applyFont="1" applyBorder="1" applyAlignment="1">
      <alignment horizontal="center" vertical="center" wrapText="1"/>
    </xf>
    <xf numFmtId="166" fontId="27" fillId="0" borderId="72" xfId="3" applyNumberFormat="1" applyFont="1" applyFill="1" applyBorder="1" applyAlignment="1">
      <alignment horizontal="center" vertical="center"/>
    </xf>
    <xf numFmtId="166" fontId="27" fillId="0" borderId="0" xfId="3" applyNumberFormat="1" applyFont="1" applyFill="1" applyBorder="1" applyAlignment="1">
      <alignment horizontal="center" vertical="center"/>
    </xf>
    <xf numFmtId="0" fontId="16" fillId="0" borderId="39" xfId="0" applyFont="1" applyFill="1" applyBorder="1" applyAlignment="1">
      <alignment horizontal="center" vertical="center"/>
    </xf>
    <xf numFmtId="0" fontId="16" fillId="0" borderId="40" xfId="0" applyFont="1" applyFill="1" applyBorder="1" applyAlignment="1">
      <alignment horizontal="center" vertical="center"/>
    </xf>
    <xf numFmtId="9" fontId="12" fillId="29" borderId="46" xfId="2" applyFont="1" applyFill="1" applyBorder="1" applyAlignment="1">
      <alignment horizontal="center" vertical="center"/>
    </xf>
    <xf numFmtId="9" fontId="12" fillId="29" borderId="37" xfId="2" applyFont="1" applyFill="1" applyBorder="1" applyAlignment="1">
      <alignment horizontal="center" vertical="center"/>
    </xf>
    <xf numFmtId="9" fontId="12" fillId="29" borderId="58" xfId="2" applyFont="1" applyFill="1" applyBorder="1" applyAlignment="1">
      <alignment horizontal="center" vertical="center"/>
    </xf>
    <xf numFmtId="9" fontId="12" fillId="29" borderId="36" xfId="2" applyFont="1" applyFill="1" applyBorder="1" applyAlignment="1">
      <alignment horizontal="center" vertical="center"/>
    </xf>
    <xf numFmtId="9" fontId="12" fillId="29" borderId="42" xfId="2" applyFont="1" applyFill="1" applyBorder="1" applyAlignment="1">
      <alignment horizontal="center" vertical="center"/>
    </xf>
    <xf numFmtId="0" fontId="16" fillId="25" borderId="49" xfId="16" applyFont="1" applyBorder="1" applyAlignment="1">
      <alignment horizontal="center" vertical="center" wrapText="1"/>
    </xf>
    <xf numFmtId="0" fontId="16" fillId="25" borderId="50" xfId="16" applyFont="1" applyBorder="1" applyAlignment="1">
      <alignment horizontal="center" vertical="center" wrapText="1"/>
    </xf>
    <xf numFmtId="0" fontId="16" fillId="25" borderId="51" xfId="16" applyFont="1" applyBorder="1" applyAlignment="1">
      <alignment horizontal="center" vertical="center" wrapText="1"/>
    </xf>
    <xf numFmtId="0" fontId="16" fillId="27" borderId="49" xfId="18" applyFont="1" applyBorder="1" applyAlignment="1">
      <alignment horizontal="center" vertical="center" wrapText="1"/>
    </xf>
    <xf numFmtId="0" fontId="16" fillId="27" borderId="50" xfId="18" applyFont="1" applyBorder="1" applyAlignment="1">
      <alignment horizontal="center" vertical="center" wrapText="1"/>
    </xf>
    <xf numFmtId="0" fontId="16" fillId="27" borderId="51" xfId="18" applyFont="1" applyBorder="1" applyAlignment="1">
      <alignment horizontal="center" vertical="center" wrapText="1"/>
    </xf>
    <xf numFmtId="0" fontId="27" fillId="0" borderId="72" xfId="0" applyFont="1" applyFill="1" applyBorder="1" applyAlignment="1">
      <alignment horizontal="left" vertical="center"/>
    </xf>
    <xf numFmtId="0" fontId="27" fillId="0" borderId="0" xfId="0" applyFont="1" applyFill="1" applyAlignment="1">
      <alignment horizontal="left" vertical="center"/>
    </xf>
    <xf numFmtId="0" fontId="16" fillId="21" borderId="49" xfId="12" applyFont="1" applyBorder="1" applyAlignment="1">
      <alignment horizontal="center" vertical="center" wrapText="1"/>
    </xf>
    <xf numFmtId="0" fontId="16" fillId="21" borderId="51" xfId="12" applyFont="1" applyBorder="1" applyAlignment="1">
      <alignment horizontal="center" vertical="center" wrapText="1"/>
    </xf>
    <xf numFmtId="0" fontId="16" fillId="23" borderId="49" xfId="14" applyFont="1" applyBorder="1" applyAlignment="1">
      <alignment horizontal="center" vertical="center" wrapText="1"/>
    </xf>
    <xf numFmtId="0" fontId="16" fillId="23" borderId="51" xfId="14" applyFont="1" applyBorder="1" applyAlignment="1">
      <alignment horizontal="center" vertical="center" wrapText="1"/>
    </xf>
    <xf numFmtId="0" fontId="27" fillId="0" borderId="0" xfId="0" applyFont="1" applyFill="1" applyBorder="1" applyAlignment="1">
      <alignment horizontal="left" vertical="center"/>
    </xf>
    <xf numFmtId="0" fontId="16" fillId="19" borderId="49" xfId="10" applyFont="1" applyBorder="1" applyAlignment="1">
      <alignment horizontal="center" vertical="center" wrapText="1"/>
    </xf>
    <xf numFmtId="0" fontId="16" fillId="19" borderId="50" xfId="10" applyFont="1" applyBorder="1" applyAlignment="1">
      <alignment horizontal="center" vertical="center" wrapText="1"/>
    </xf>
    <xf numFmtId="0" fontId="16" fillId="19" borderId="51" xfId="10" applyFont="1" applyBorder="1" applyAlignment="1">
      <alignment horizontal="center" vertical="center" wrapText="1"/>
    </xf>
    <xf numFmtId="9" fontId="27" fillId="0" borderId="72" xfId="2" applyFont="1" applyFill="1" applyBorder="1" applyAlignment="1">
      <alignment horizontal="left" vertical="center"/>
    </xf>
    <xf numFmtId="9" fontId="27" fillId="0" borderId="0" xfId="2" applyFont="1" applyFill="1" applyBorder="1" applyAlignment="1">
      <alignment horizontal="left" vertical="center"/>
    </xf>
    <xf numFmtId="0" fontId="16" fillId="17" borderId="121" xfId="8" applyFont="1" applyBorder="1" applyAlignment="1">
      <alignment horizontal="center" vertical="center" wrapText="1"/>
    </xf>
    <xf numFmtId="0" fontId="16" fillId="17" borderId="169" xfId="8" applyFont="1" applyBorder="1" applyAlignment="1">
      <alignment horizontal="center" vertical="center" wrapText="1"/>
    </xf>
    <xf numFmtId="0" fontId="16" fillId="17" borderId="122" xfId="8" applyFont="1" applyBorder="1" applyAlignment="1">
      <alignment horizontal="center" vertical="center" wrapText="1"/>
    </xf>
    <xf numFmtId="0" fontId="16" fillId="17" borderId="123" xfId="8" applyFont="1" applyBorder="1" applyAlignment="1">
      <alignment horizontal="center" vertical="center" wrapText="1"/>
    </xf>
    <xf numFmtId="0" fontId="42" fillId="0" borderId="0" xfId="0" applyFont="1" applyAlignment="1">
      <alignment horizontal="center" vertical="center"/>
    </xf>
    <xf numFmtId="0" fontId="34" fillId="37" borderId="71" xfId="0" applyFont="1" applyFill="1" applyBorder="1" applyAlignment="1">
      <alignment horizontal="center" vertical="center"/>
    </xf>
    <xf numFmtId="0" fontId="34" fillId="37" borderId="63" xfId="0" applyFont="1" applyFill="1" applyBorder="1" applyAlignment="1">
      <alignment horizontal="center" vertical="center"/>
    </xf>
    <xf numFmtId="0" fontId="34" fillId="37" borderId="64" xfId="0" applyFont="1" applyFill="1" applyBorder="1" applyAlignment="1">
      <alignment horizontal="center" vertical="center"/>
    </xf>
    <xf numFmtId="0" fontId="2" fillId="15" borderId="104" xfId="0" applyFont="1" applyFill="1" applyBorder="1" applyAlignment="1">
      <alignment horizontal="center" vertical="center"/>
    </xf>
    <xf numFmtId="0" fontId="2" fillId="15" borderId="98" xfId="0" applyFont="1" applyFill="1" applyBorder="1" applyAlignment="1">
      <alignment horizontal="center" vertical="center"/>
    </xf>
    <xf numFmtId="0" fontId="2" fillId="15" borderId="100" xfId="0" applyFont="1" applyFill="1" applyBorder="1" applyAlignment="1">
      <alignment horizontal="center" vertical="center"/>
    </xf>
    <xf numFmtId="0" fontId="2" fillId="4" borderId="90" xfId="0" applyFont="1" applyFill="1" applyBorder="1" applyAlignment="1">
      <alignment horizontal="center" vertical="center"/>
    </xf>
    <xf numFmtId="0" fontId="2" fillId="4" borderId="93" xfId="0" applyFont="1" applyFill="1" applyBorder="1" applyAlignment="1">
      <alignment horizontal="center" vertical="center"/>
    </xf>
    <xf numFmtId="0" fontId="2" fillId="4" borderId="95" xfId="0" applyFont="1" applyFill="1" applyBorder="1" applyAlignment="1">
      <alignment horizontal="center" vertical="center"/>
    </xf>
    <xf numFmtId="0" fontId="26" fillId="31" borderId="71" xfId="0" applyFont="1" applyFill="1" applyBorder="1" applyAlignment="1">
      <alignment horizontal="center" vertical="center"/>
    </xf>
    <xf numFmtId="0" fontId="26" fillId="31" borderId="63" xfId="0" applyFont="1" applyFill="1" applyBorder="1" applyAlignment="1">
      <alignment horizontal="center" vertical="center"/>
    </xf>
    <xf numFmtId="0" fontId="26" fillId="31" borderId="64" xfId="0" applyFont="1" applyFill="1" applyBorder="1" applyAlignment="1">
      <alignment horizontal="center" vertical="center"/>
    </xf>
    <xf numFmtId="0" fontId="34" fillId="10" borderId="71" xfId="0" applyFont="1" applyFill="1" applyBorder="1" applyAlignment="1">
      <alignment horizontal="center" vertical="center"/>
    </xf>
    <xf numFmtId="0" fontId="34" fillId="10" borderId="63" xfId="0" applyFont="1" applyFill="1" applyBorder="1" applyAlignment="1">
      <alignment horizontal="center" vertical="center"/>
    </xf>
    <xf numFmtId="0" fontId="34" fillId="10" borderId="64" xfId="0" applyFont="1" applyFill="1" applyBorder="1" applyAlignment="1">
      <alignment horizontal="center" vertical="center"/>
    </xf>
    <xf numFmtId="0" fontId="26" fillId="36" borderId="71" xfId="0" applyFont="1" applyFill="1" applyBorder="1" applyAlignment="1">
      <alignment horizontal="center" vertical="center"/>
    </xf>
    <xf numFmtId="0" fontId="26" fillId="36" borderId="63" xfId="0" applyFont="1" applyFill="1" applyBorder="1" applyAlignment="1">
      <alignment horizontal="center" vertical="center"/>
    </xf>
    <xf numFmtId="0" fontId="26" fillId="36" borderId="64" xfId="0" applyFont="1" applyFill="1" applyBorder="1" applyAlignment="1">
      <alignment horizontal="center" vertical="center"/>
    </xf>
    <xf numFmtId="0" fontId="13" fillId="0" borderId="0" xfId="0" applyFont="1" applyFill="1" applyAlignment="1">
      <alignment horizontal="center" vertical="center"/>
    </xf>
    <xf numFmtId="0" fontId="22" fillId="18" borderId="121" xfId="9" applyFont="1" applyBorder="1" applyAlignment="1">
      <alignment horizontal="center" vertical="center" wrapText="1"/>
    </xf>
    <xf numFmtId="0" fontId="22" fillId="18" borderId="122" xfId="9" applyFont="1" applyBorder="1" applyAlignment="1">
      <alignment horizontal="center" vertical="center" wrapText="1"/>
    </xf>
    <xf numFmtId="0" fontId="22" fillId="18" borderId="123" xfId="9" applyFont="1" applyBorder="1" applyAlignment="1">
      <alignment horizontal="center" vertical="center" wrapText="1"/>
    </xf>
    <xf numFmtId="0" fontId="19" fillId="26" borderId="121" xfId="17" applyFont="1" applyBorder="1" applyAlignment="1">
      <alignment horizontal="center" vertical="center" wrapText="1"/>
    </xf>
    <xf numFmtId="0" fontId="19" fillId="26" borderId="123" xfId="17" applyFont="1" applyBorder="1" applyAlignment="1">
      <alignment horizontal="center" vertical="center" wrapText="1"/>
    </xf>
    <xf numFmtId="0" fontId="16" fillId="27" borderId="121" xfId="18" applyFont="1" applyBorder="1" applyAlignment="1">
      <alignment horizontal="center" vertical="center" wrapText="1"/>
    </xf>
    <xf numFmtId="0" fontId="16" fillId="27" borderId="122" xfId="18" applyFont="1" applyBorder="1" applyAlignment="1">
      <alignment horizontal="center" vertical="center" wrapText="1"/>
    </xf>
    <xf numFmtId="0" fontId="16" fillId="27" borderId="123" xfId="18" applyFont="1" applyBorder="1" applyAlignment="1">
      <alignment horizontal="center" vertical="center" wrapText="1"/>
    </xf>
    <xf numFmtId="0" fontId="13" fillId="0" borderId="129" xfId="0" applyFont="1" applyFill="1" applyBorder="1" applyAlignment="1">
      <alignment horizontal="center" vertical="center" wrapText="1"/>
    </xf>
    <xf numFmtId="0" fontId="13" fillId="0" borderId="111" xfId="0" applyFont="1" applyFill="1" applyBorder="1" applyAlignment="1">
      <alignment horizontal="center" vertical="center" wrapText="1"/>
    </xf>
    <xf numFmtId="0" fontId="13" fillId="0" borderId="113" xfId="0" applyFont="1" applyFill="1" applyBorder="1" applyAlignment="1">
      <alignment horizontal="center" vertical="center" wrapText="1"/>
    </xf>
    <xf numFmtId="0" fontId="13" fillId="0" borderId="130" xfId="0" applyFont="1" applyFill="1" applyBorder="1" applyAlignment="1">
      <alignment horizontal="center" vertical="center" wrapText="1"/>
    </xf>
    <xf numFmtId="0" fontId="13" fillId="0" borderId="115" xfId="0" applyFont="1" applyFill="1" applyBorder="1" applyAlignment="1">
      <alignment horizontal="center" vertical="center" wrapText="1"/>
    </xf>
    <xf numFmtId="0" fontId="16" fillId="24" borderId="121" xfId="15" applyFont="1" applyBorder="1" applyAlignment="1">
      <alignment horizontal="center" vertical="center" wrapText="1"/>
    </xf>
    <xf numFmtId="0" fontId="16" fillId="24" borderId="122" xfId="15" applyFont="1" applyBorder="1" applyAlignment="1">
      <alignment horizontal="center" vertical="center" wrapText="1"/>
    </xf>
    <xf numFmtId="0" fontId="16" fillId="24" borderId="123" xfId="15" applyFont="1" applyBorder="1" applyAlignment="1">
      <alignment horizontal="center" vertical="center" wrapText="1"/>
    </xf>
    <xf numFmtId="0" fontId="16" fillId="3" borderId="142" xfId="0" applyFont="1" applyFill="1" applyBorder="1" applyAlignment="1">
      <alignment horizontal="center" vertical="center"/>
    </xf>
    <xf numFmtId="0" fontId="16" fillId="3" borderId="137" xfId="0" applyFont="1" applyFill="1" applyBorder="1" applyAlignment="1">
      <alignment horizontal="center" vertical="center"/>
    </xf>
    <xf numFmtId="0" fontId="16" fillId="3" borderId="138" xfId="0" applyFont="1" applyFill="1" applyBorder="1" applyAlignment="1">
      <alignment horizontal="center" vertical="center"/>
    </xf>
    <xf numFmtId="0" fontId="13" fillId="0" borderId="110" xfId="0" applyFont="1" applyFill="1" applyBorder="1" applyAlignment="1">
      <alignment horizontal="center" vertical="center" wrapText="1"/>
    </xf>
    <xf numFmtId="0" fontId="13" fillId="0" borderId="126" xfId="0" applyFont="1" applyFill="1" applyBorder="1" applyAlignment="1">
      <alignment horizontal="center" vertical="center" wrapText="1"/>
    </xf>
    <xf numFmtId="0" fontId="13" fillId="0" borderId="185" xfId="0" applyFont="1" applyFill="1" applyBorder="1" applyAlignment="1">
      <alignment horizontal="center" vertical="center" wrapText="1"/>
    </xf>
    <xf numFmtId="0" fontId="13" fillId="0" borderId="171" xfId="0" applyFont="1" applyFill="1" applyBorder="1" applyAlignment="1">
      <alignment horizontal="center" vertical="center" wrapText="1"/>
    </xf>
    <xf numFmtId="0" fontId="13" fillId="0" borderId="186" xfId="0" applyFont="1" applyFill="1" applyBorder="1" applyAlignment="1">
      <alignment horizontal="center" vertical="center" wrapText="1"/>
    </xf>
    <xf numFmtId="0" fontId="30" fillId="0" borderId="144" xfId="0" applyFont="1" applyFill="1" applyBorder="1" applyAlignment="1">
      <alignment horizontal="center" vertical="center" wrapText="1"/>
    </xf>
    <xf numFmtId="0" fontId="30" fillId="0" borderId="135" xfId="0" applyFont="1" applyFill="1" applyBorder="1" applyAlignment="1">
      <alignment horizontal="center" vertical="center" wrapText="1"/>
    </xf>
    <xf numFmtId="0" fontId="30" fillId="0" borderId="136" xfId="0" applyFont="1" applyFill="1" applyBorder="1" applyAlignment="1">
      <alignment horizontal="center" vertical="center" wrapText="1"/>
    </xf>
    <xf numFmtId="0" fontId="16" fillId="20" borderId="121" xfId="11" applyFont="1" applyBorder="1" applyAlignment="1">
      <alignment horizontal="center" vertical="center" wrapText="1"/>
    </xf>
    <xf numFmtId="0" fontId="16" fillId="20" borderId="122" xfId="11" applyFont="1" applyBorder="1" applyAlignment="1">
      <alignment horizontal="center" vertical="center" wrapText="1"/>
    </xf>
    <xf numFmtId="0" fontId="16" fillId="20" borderId="123" xfId="11" applyFont="1" applyBorder="1" applyAlignment="1">
      <alignment horizontal="center" vertical="center" wrapText="1"/>
    </xf>
    <xf numFmtId="0" fontId="16" fillId="22" borderId="121" xfId="13" applyFont="1" applyBorder="1" applyAlignment="1">
      <alignment horizontal="center" vertical="center" wrapText="1"/>
    </xf>
    <xf numFmtId="0" fontId="16" fillId="22" borderId="123" xfId="13" applyFont="1" applyBorder="1" applyAlignment="1">
      <alignment horizontal="center" vertical="center" wrapText="1"/>
    </xf>
    <xf numFmtId="0" fontId="13" fillId="0" borderId="146" xfId="0" applyFont="1" applyFill="1" applyBorder="1" applyAlignment="1">
      <alignment horizontal="center" vertical="center" wrapText="1"/>
    </xf>
    <xf numFmtId="0" fontId="13" fillId="0" borderId="147" xfId="0" applyFont="1" applyFill="1" applyBorder="1" applyAlignment="1">
      <alignment horizontal="center" vertical="center" wrapText="1"/>
    </xf>
    <xf numFmtId="0" fontId="13" fillId="0" borderId="148" xfId="0" applyFont="1" applyFill="1" applyBorder="1" applyAlignment="1">
      <alignment horizontal="center" vertical="center" wrapText="1"/>
    </xf>
    <xf numFmtId="0" fontId="13" fillId="0" borderId="139" xfId="0" applyFont="1" applyFill="1" applyBorder="1" applyAlignment="1">
      <alignment horizontal="center" vertical="center" wrapText="1"/>
    </xf>
    <xf numFmtId="0" fontId="13" fillId="0" borderId="141" xfId="0" applyFont="1" applyFill="1" applyBorder="1" applyAlignment="1">
      <alignment horizontal="center" vertical="center" wrapText="1"/>
    </xf>
    <xf numFmtId="0" fontId="13" fillId="0" borderId="149" xfId="0" applyFont="1" applyFill="1" applyBorder="1" applyAlignment="1">
      <alignment horizontal="center" vertical="center" wrapText="1"/>
    </xf>
    <xf numFmtId="0" fontId="12" fillId="15" borderId="63" xfId="0" applyFont="1" applyFill="1" applyBorder="1" applyAlignment="1">
      <alignment horizontal="center" vertical="center"/>
    </xf>
    <xf numFmtId="0" fontId="12" fillId="15" borderId="67" xfId="0" applyFont="1" applyFill="1" applyBorder="1" applyAlignment="1">
      <alignment horizontal="center" vertical="center"/>
    </xf>
    <xf numFmtId="0" fontId="12" fillId="0" borderId="63" xfId="0" applyFont="1" applyFill="1" applyBorder="1" applyAlignment="1">
      <alignment horizontal="center" vertical="center"/>
    </xf>
    <xf numFmtId="0" fontId="12" fillId="0" borderId="67" xfId="0" applyFont="1" applyFill="1" applyBorder="1" applyAlignment="1">
      <alignment horizontal="center" vertical="center"/>
    </xf>
    <xf numFmtId="0" fontId="12" fillId="15" borderId="141" xfId="0" applyFont="1" applyFill="1" applyBorder="1" applyAlignment="1">
      <alignment horizontal="center" vertical="center"/>
    </xf>
    <xf numFmtId="0" fontId="28" fillId="0" borderId="163" xfId="0" applyFont="1" applyBorder="1" applyAlignment="1">
      <alignment horizontal="center" vertical="center" wrapText="1"/>
    </xf>
    <xf numFmtId="0" fontId="27" fillId="0" borderId="163" xfId="0" applyFont="1" applyFill="1" applyBorder="1" applyAlignment="1">
      <alignment horizontal="left" vertical="center"/>
    </xf>
    <xf numFmtId="0" fontId="16" fillId="19" borderId="121" xfId="10" applyFont="1" applyBorder="1" applyAlignment="1">
      <alignment horizontal="center" vertical="center" wrapText="1"/>
    </xf>
    <xf numFmtId="0" fontId="16" fillId="19" borderId="122" xfId="10" applyFont="1" applyBorder="1" applyAlignment="1">
      <alignment horizontal="center" vertical="center" wrapText="1"/>
    </xf>
    <xf numFmtId="0" fontId="16" fillId="19" borderId="123" xfId="10" applyFont="1" applyBorder="1" applyAlignment="1">
      <alignment horizontal="center" vertical="center" wrapText="1"/>
    </xf>
    <xf numFmtId="0" fontId="16" fillId="21" borderId="121" xfId="12" applyFont="1" applyBorder="1" applyAlignment="1">
      <alignment horizontal="center" vertical="center" wrapText="1"/>
    </xf>
    <xf numFmtId="0" fontId="16" fillId="21" borderId="123" xfId="12" applyFont="1" applyBorder="1" applyAlignment="1">
      <alignment horizontal="center" vertical="center" wrapText="1"/>
    </xf>
    <xf numFmtId="0" fontId="16" fillId="23" borderId="121" xfId="14" applyFont="1" applyBorder="1" applyAlignment="1">
      <alignment horizontal="center" vertical="center" wrapText="1"/>
    </xf>
    <xf numFmtId="0" fontId="16" fillId="23" borderId="123" xfId="14" applyFont="1" applyBorder="1" applyAlignment="1">
      <alignment horizontal="center" vertical="center" wrapText="1"/>
    </xf>
    <xf numFmtId="0" fontId="16" fillId="25" borderId="121" xfId="16" applyFont="1" applyBorder="1" applyAlignment="1">
      <alignment horizontal="center" vertical="center" wrapText="1"/>
    </xf>
    <xf numFmtId="0" fontId="16" fillId="25" borderId="122" xfId="16" applyFont="1" applyBorder="1" applyAlignment="1">
      <alignment horizontal="center" vertical="center" wrapText="1"/>
    </xf>
    <xf numFmtId="0" fontId="16" fillId="25" borderId="123" xfId="16" applyFont="1" applyBorder="1" applyAlignment="1">
      <alignment horizontal="center" vertical="center" wrapText="1"/>
    </xf>
    <xf numFmtId="0" fontId="19" fillId="16" borderId="121" xfId="7" applyFont="1" applyBorder="1" applyAlignment="1">
      <alignment horizontal="center" vertical="center" wrapText="1"/>
    </xf>
    <xf numFmtId="0" fontId="19" fillId="16" borderId="122" xfId="7" applyFont="1" applyBorder="1" applyAlignment="1">
      <alignment horizontal="center" vertical="center" wrapText="1"/>
    </xf>
    <xf numFmtId="0" fontId="19" fillId="16" borderId="123" xfId="7" applyFont="1" applyBorder="1" applyAlignment="1">
      <alignment horizontal="center" vertical="center" wrapText="1"/>
    </xf>
    <xf numFmtId="9" fontId="16" fillId="29" borderId="112" xfId="2" applyFont="1" applyFill="1" applyBorder="1" applyAlignment="1" applyProtection="1">
      <alignment horizontal="center" vertical="center"/>
      <protection locked="0"/>
    </xf>
    <xf numFmtId="9" fontId="16" fillId="29" borderId="113" xfId="2" applyFont="1" applyFill="1" applyBorder="1" applyAlignment="1" applyProtection="1">
      <alignment horizontal="center" vertical="center"/>
      <protection locked="0"/>
    </xf>
    <xf numFmtId="0" fontId="16" fillId="28" borderId="121" xfId="19" applyFont="1" applyBorder="1" applyAlignment="1">
      <alignment horizontal="center" vertical="center" wrapText="1"/>
    </xf>
    <xf numFmtId="0" fontId="16" fillId="28" borderId="122" xfId="19" applyFont="1" applyBorder="1" applyAlignment="1">
      <alignment horizontal="center" vertical="center" wrapText="1"/>
    </xf>
    <xf numFmtId="0" fontId="16" fillId="28" borderId="123" xfId="19" applyFont="1" applyBorder="1" applyAlignment="1">
      <alignment horizontal="center" vertical="center" wrapText="1"/>
    </xf>
    <xf numFmtId="0" fontId="16" fillId="3" borderId="110" xfId="0" applyFont="1" applyFill="1" applyBorder="1" applyAlignment="1">
      <alignment horizontal="center" vertical="center"/>
    </xf>
    <xf numFmtId="0" fontId="16" fillId="3" borderId="111" xfId="0" applyFont="1" applyFill="1" applyBorder="1" applyAlignment="1">
      <alignment horizontal="center" vertical="center"/>
    </xf>
    <xf numFmtId="0" fontId="16" fillId="4" borderId="110" xfId="0" applyFont="1" applyFill="1" applyBorder="1" applyAlignment="1">
      <alignment horizontal="center" vertical="center"/>
    </xf>
    <xf numFmtId="0" fontId="16" fillId="4" borderId="111" xfId="0" applyFont="1" applyFill="1" applyBorder="1" applyAlignment="1">
      <alignment horizontal="center" vertical="center"/>
    </xf>
    <xf numFmtId="0" fontId="12" fillId="32" borderId="163" xfId="0" applyFont="1" applyFill="1" applyBorder="1" applyAlignment="1">
      <alignment horizontal="center" vertical="center"/>
    </xf>
    <xf numFmtId="0" fontId="12" fillId="15" borderId="180" xfId="0" applyFont="1" applyFill="1" applyBorder="1" applyAlignment="1">
      <alignment horizontal="center" vertical="center"/>
    </xf>
    <xf numFmtId="0" fontId="12" fillId="15" borderId="181" xfId="0" applyFont="1" applyFill="1" applyBorder="1" applyAlignment="1">
      <alignment horizontal="center" vertical="center"/>
    </xf>
    <xf numFmtId="0" fontId="12" fillId="15" borderId="182" xfId="0" applyFont="1" applyFill="1" applyBorder="1" applyAlignment="1">
      <alignment horizontal="center" vertical="center"/>
    </xf>
    <xf numFmtId="0" fontId="13" fillId="0" borderId="150" xfId="0" applyFont="1" applyFill="1" applyBorder="1" applyAlignment="1">
      <alignment horizontal="center" vertical="center" wrapText="1"/>
    </xf>
    <xf numFmtId="0" fontId="26" fillId="5" borderId="71" xfId="0" applyFont="1" applyFill="1" applyBorder="1" applyAlignment="1">
      <alignment horizontal="center" vertical="center"/>
    </xf>
    <xf numFmtId="0" fontId="26" fillId="5" borderId="63" xfId="0" applyFont="1" applyFill="1" applyBorder="1" applyAlignment="1">
      <alignment horizontal="center" vertical="center"/>
    </xf>
    <xf numFmtId="0" fontId="26" fillId="5" borderId="64" xfId="0" applyFont="1" applyFill="1" applyBorder="1" applyAlignment="1">
      <alignment horizontal="center" vertical="center"/>
    </xf>
    <xf numFmtId="0" fontId="36" fillId="31" borderId="104" xfId="0" applyFont="1" applyFill="1" applyBorder="1" applyAlignment="1">
      <alignment horizontal="center" vertical="center"/>
    </xf>
    <xf numFmtId="0" fontId="36" fillId="31" borderId="98" xfId="0" applyFont="1" applyFill="1" applyBorder="1" applyAlignment="1">
      <alignment horizontal="center" vertical="center"/>
    </xf>
    <xf numFmtId="0" fontId="36" fillId="31" borderId="100" xfId="0" applyFont="1" applyFill="1" applyBorder="1" applyAlignment="1">
      <alignment horizontal="center" vertical="center"/>
    </xf>
    <xf numFmtId="0" fontId="36" fillId="35" borderId="90" xfId="0" applyFont="1" applyFill="1" applyBorder="1" applyAlignment="1">
      <alignment horizontal="center" vertical="center"/>
    </xf>
    <xf numFmtId="0" fontId="36" fillId="35" borderId="93" xfId="0" applyFont="1" applyFill="1" applyBorder="1" applyAlignment="1">
      <alignment horizontal="center" vertical="center"/>
    </xf>
    <xf numFmtId="0" fontId="36" fillId="35" borderId="95" xfId="0" applyFont="1" applyFill="1" applyBorder="1" applyAlignment="1">
      <alignment horizontal="center" vertical="center"/>
    </xf>
    <xf numFmtId="9" fontId="16" fillId="29" borderId="117" xfId="2" applyFont="1" applyFill="1" applyBorder="1" applyAlignment="1" applyProtection="1">
      <alignment horizontal="center" vertical="center"/>
      <protection locked="0"/>
    </xf>
    <xf numFmtId="9" fontId="16" fillId="29" borderId="127" xfId="2" applyFont="1" applyFill="1" applyBorder="1" applyAlignment="1" applyProtection="1">
      <alignment horizontal="center" vertical="center"/>
      <protection locked="0"/>
    </xf>
    <xf numFmtId="9" fontId="16" fillId="29" borderId="178" xfId="2" applyFont="1" applyFill="1" applyBorder="1" applyAlignment="1" applyProtection="1">
      <alignment horizontal="center" vertical="center"/>
      <protection locked="0"/>
    </xf>
    <xf numFmtId="9" fontId="16" fillId="29" borderId="179" xfId="2" applyFont="1" applyFill="1" applyBorder="1" applyAlignment="1" applyProtection="1">
      <alignment horizontal="center" vertical="center"/>
      <protection locked="0"/>
    </xf>
    <xf numFmtId="166" fontId="27" fillId="0" borderId="163" xfId="3" applyNumberFormat="1" applyFont="1" applyFill="1" applyBorder="1" applyAlignment="1">
      <alignment horizontal="left" vertical="center"/>
    </xf>
    <xf numFmtId="166" fontId="27" fillId="0" borderId="65" xfId="3" applyNumberFormat="1" applyFont="1" applyFill="1" applyBorder="1" applyAlignment="1">
      <alignment horizontal="left" vertical="center"/>
    </xf>
    <xf numFmtId="0" fontId="37" fillId="41" borderId="104" xfId="0" applyFont="1" applyFill="1" applyBorder="1" applyAlignment="1">
      <alignment horizontal="center" vertical="center"/>
    </xf>
    <xf numFmtId="0" fontId="37" fillId="41" borderId="98" xfId="0" applyFont="1" applyFill="1" applyBorder="1" applyAlignment="1">
      <alignment horizontal="center" vertical="center"/>
    </xf>
    <xf numFmtId="0" fontId="37" fillId="41" borderId="100" xfId="0" applyFont="1" applyFill="1" applyBorder="1" applyAlignment="1">
      <alignment horizontal="center" vertical="center"/>
    </xf>
    <xf numFmtId="0" fontId="37" fillId="42" borderId="90" xfId="0" applyFont="1" applyFill="1" applyBorder="1" applyAlignment="1">
      <alignment horizontal="center" vertical="center"/>
    </xf>
    <xf numFmtId="0" fontId="37" fillId="42" borderId="93" xfId="0" applyFont="1" applyFill="1" applyBorder="1" applyAlignment="1">
      <alignment horizontal="center" vertical="center"/>
    </xf>
    <xf numFmtId="0" fontId="37" fillId="42" borderId="95" xfId="0" applyFont="1" applyFill="1" applyBorder="1" applyAlignment="1">
      <alignment horizontal="center" vertical="center"/>
    </xf>
    <xf numFmtId="0" fontId="36" fillId="35" borderId="104" xfId="0" applyFont="1" applyFill="1" applyBorder="1" applyAlignment="1">
      <alignment horizontal="center" vertical="center"/>
    </xf>
    <xf numFmtId="0" fontId="36" fillId="35" borderId="98" xfId="0" applyFont="1" applyFill="1" applyBorder="1" applyAlignment="1">
      <alignment horizontal="center" vertical="center"/>
    </xf>
    <xf numFmtId="0" fontId="36" fillId="35" borderId="100" xfId="0" applyFont="1" applyFill="1" applyBorder="1" applyAlignment="1">
      <alignment horizontal="center" vertical="center"/>
    </xf>
    <xf numFmtId="0" fontId="12" fillId="0" borderId="163" xfId="0" applyFont="1" applyFill="1" applyBorder="1" applyAlignment="1">
      <alignment horizontal="center" vertical="center"/>
    </xf>
    <xf numFmtId="0" fontId="12"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42" fillId="0" borderId="67" xfId="0" applyFont="1" applyBorder="1" applyAlignment="1">
      <alignment horizontal="center" vertical="center"/>
    </xf>
    <xf numFmtId="0" fontId="36" fillId="5" borderId="90" xfId="0" applyFont="1" applyFill="1" applyBorder="1" applyAlignment="1">
      <alignment horizontal="center" vertical="center"/>
    </xf>
    <xf numFmtId="0" fontId="36" fillId="5" borderId="93" xfId="0" applyFont="1" applyFill="1" applyBorder="1" applyAlignment="1">
      <alignment horizontal="center" vertical="center"/>
    </xf>
    <xf numFmtId="0" fontId="36" fillId="5" borderId="95" xfId="0" applyFont="1" applyFill="1" applyBorder="1" applyAlignment="1">
      <alignment horizontal="center" vertical="center"/>
    </xf>
    <xf numFmtId="0" fontId="26" fillId="38" borderId="71" xfId="0" applyFont="1" applyFill="1" applyBorder="1" applyAlignment="1">
      <alignment horizontal="center" vertical="center"/>
    </xf>
    <xf numFmtId="0" fontId="26" fillId="38" borderId="63" xfId="0" applyFont="1" applyFill="1" applyBorder="1" applyAlignment="1">
      <alignment horizontal="center" vertical="center"/>
    </xf>
    <xf numFmtId="0" fontId="26" fillId="38" borderId="64" xfId="0" applyFont="1" applyFill="1" applyBorder="1" applyAlignment="1">
      <alignment horizontal="center" vertical="center"/>
    </xf>
    <xf numFmtId="0" fontId="36" fillId="39" borderId="104" xfId="0" applyFont="1" applyFill="1" applyBorder="1" applyAlignment="1">
      <alignment horizontal="center" vertical="center"/>
    </xf>
    <xf numFmtId="0" fontId="36" fillId="39" borderId="98" xfId="0" applyFont="1" applyFill="1" applyBorder="1" applyAlignment="1">
      <alignment horizontal="center" vertical="center"/>
    </xf>
    <xf numFmtId="0" fontId="36" fillId="39" borderId="100" xfId="0" applyFont="1" applyFill="1" applyBorder="1" applyAlignment="1">
      <alignment horizontal="center" vertical="center"/>
    </xf>
    <xf numFmtId="0" fontId="36" fillId="40" borderId="90" xfId="0" applyFont="1" applyFill="1" applyBorder="1" applyAlignment="1">
      <alignment horizontal="center" vertical="center"/>
    </xf>
    <xf numFmtId="0" fontId="36" fillId="40" borderId="93" xfId="0" applyFont="1" applyFill="1" applyBorder="1" applyAlignment="1">
      <alignment horizontal="center" vertical="center"/>
    </xf>
    <xf numFmtId="0" fontId="36" fillId="40" borderId="95" xfId="0" applyFont="1" applyFill="1" applyBorder="1" applyAlignment="1">
      <alignment horizontal="center" vertical="center"/>
    </xf>
    <xf numFmtId="0" fontId="16" fillId="33" borderId="110" xfId="0" applyFont="1" applyFill="1" applyBorder="1" applyAlignment="1">
      <alignment horizontal="center" vertical="center"/>
    </xf>
    <xf numFmtId="0" fontId="16" fillId="33" borderId="111" xfId="0" applyFont="1" applyFill="1" applyBorder="1" applyAlignment="1">
      <alignment horizontal="center" vertical="center"/>
    </xf>
    <xf numFmtId="0" fontId="2" fillId="6" borderId="17" xfId="0" applyFont="1" applyFill="1" applyBorder="1" applyAlignment="1">
      <alignment horizontal="center" vertical="center"/>
    </xf>
    <xf numFmtId="0" fontId="2" fillId="6" borderId="23" xfId="0" applyFont="1" applyFill="1" applyBorder="1" applyAlignment="1">
      <alignment horizontal="center" vertical="center"/>
    </xf>
    <xf numFmtId="0" fontId="2" fillId="6" borderId="18" xfId="0" applyFont="1" applyFill="1" applyBorder="1" applyAlignment="1">
      <alignment horizontal="center" vertical="center"/>
    </xf>
    <xf numFmtId="0" fontId="2" fillId="15" borderId="15" xfId="0" applyFont="1" applyFill="1" applyBorder="1" applyAlignment="1">
      <alignment horizontal="center" vertical="center"/>
    </xf>
    <xf numFmtId="0" fontId="2" fillId="15" borderId="16"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7" borderId="17" xfId="0" applyFont="1" applyFill="1" applyBorder="1" applyAlignment="1">
      <alignment horizontal="center" vertical="center"/>
    </xf>
    <xf numFmtId="0" fontId="2" fillId="7" borderId="23" xfId="0" applyFont="1" applyFill="1" applyBorder="1" applyAlignment="1">
      <alignment horizontal="center" vertical="center"/>
    </xf>
    <xf numFmtId="0" fontId="2" fillId="7" borderId="18" xfId="0" applyFont="1" applyFill="1" applyBorder="1" applyAlignment="1">
      <alignment horizontal="center" vertical="center"/>
    </xf>
    <xf numFmtId="0" fontId="2" fillId="15" borderId="11" xfId="0" applyFont="1" applyFill="1" applyBorder="1" applyAlignment="1">
      <alignment horizontal="center" vertical="center"/>
    </xf>
    <xf numFmtId="0" fontId="2" fillId="15" borderId="28" xfId="0" applyFont="1" applyFill="1" applyBorder="1" applyAlignment="1">
      <alignment horizontal="center" vertical="center"/>
    </xf>
    <xf numFmtId="0" fontId="2" fillId="15" borderId="35"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8" borderId="17" xfId="0" applyFont="1" applyFill="1" applyBorder="1" applyAlignment="1">
      <alignment horizontal="center" vertical="center"/>
    </xf>
    <xf numFmtId="0" fontId="2" fillId="8" borderId="23" xfId="0" applyFont="1" applyFill="1" applyBorder="1" applyAlignment="1">
      <alignment horizontal="center" vertical="center"/>
    </xf>
    <xf numFmtId="0" fontId="2" fillId="8" borderId="18" xfId="0" applyFont="1" applyFill="1" applyBorder="1" applyAlignment="1">
      <alignment horizontal="center" vertical="center"/>
    </xf>
    <xf numFmtId="0" fontId="2" fillId="9" borderId="19" xfId="0" applyFont="1" applyFill="1" applyBorder="1" applyAlignment="1">
      <alignment horizontal="center" vertical="center"/>
    </xf>
    <xf numFmtId="0" fontId="2" fillId="9" borderId="22" xfId="0" applyFont="1" applyFill="1" applyBorder="1" applyAlignment="1">
      <alignment horizontal="center" vertical="center"/>
    </xf>
    <xf numFmtId="0" fontId="2" fillId="9" borderId="20" xfId="0" applyFont="1" applyFill="1" applyBorder="1" applyAlignment="1">
      <alignment horizontal="center" vertical="center"/>
    </xf>
    <xf numFmtId="0" fontId="2" fillId="2" borderId="0" xfId="0" applyFont="1" applyFill="1" applyAlignment="1">
      <alignment horizontal="center"/>
    </xf>
    <xf numFmtId="0" fontId="2" fillId="10" borderId="0" xfId="0" applyFont="1" applyFill="1" applyAlignment="1">
      <alignment horizontal="center"/>
    </xf>
    <xf numFmtId="0" fontId="2" fillId="11" borderId="0" xfId="0" applyFont="1" applyFill="1" applyAlignment="1">
      <alignment horizontal="center"/>
    </xf>
  </cellXfs>
  <cellStyles count="20">
    <cellStyle name="20% - Accent1" xfId="8" builtinId="30"/>
    <cellStyle name="20% - Accent2" xfId="10" builtinId="34"/>
    <cellStyle name="20% - Accent3" xfId="12" builtinId="38"/>
    <cellStyle name="20% - Accent4" xfId="14" builtinId="42"/>
    <cellStyle name="20% - Accent5" xfId="16" builtinId="46"/>
    <cellStyle name="20% - Accent6" xfId="18" builtinId="50"/>
    <cellStyle name="40% - Accent2" xfId="11" builtinId="35"/>
    <cellStyle name="40% - Accent4" xfId="15" builtinId="43"/>
    <cellStyle name="40% - Accent6" xfId="19" builtinId="51"/>
    <cellStyle name="60% - Accent3" xfId="13" builtinId="40"/>
    <cellStyle name="Accent1" xfId="7" builtinId="29"/>
    <cellStyle name="Accent2" xfId="9" builtinId="33"/>
    <cellStyle name="Accent6" xfId="17" builtinId="49"/>
    <cellStyle name="Comma" xfId="1" builtinId="3"/>
    <cellStyle name="Currency" xfId="3" builtinId="4"/>
    <cellStyle name="Hyperlink" xfId="4" builtinId="8"/>
    <cellStyle name="Normal" xfId="0" builtinId="0"/>
    <cellStyle name="Normal 2" xfId="5" xr:uid="{386578B3-DEC8-47EE-A072-C7D17ABDD60F}"/>
    <cellStyle name="Percent" xfId="2" builtinId="5"/>
    <cellStyle name="Percent 2" xfId="6" xr:uid="{CA7FAE0E-5560-4A30-9802-9CB75F792197}"/>
  </cellStyles>
  <dxfs count="31">
    <dxf>
      <font>
        <color rgb="FF9C0006"/>
      </font>
      <fill>
        <patternFill>
          <bgColor rgb="FFFFC7CE"/>
        </patternFill>
      </fill>
    </dxf>
    <dxf>
      <font>
        <b/>
        <i val="0"/>
        <color rgb="FF006100"/>
      </font>
      <fill>
        <patternFill>
          <bgColor rgb="FFC6EFCE"/>
        </patternFill>
      </fill>
    </dxf>
    <dxf>
      <font>
        <color rgb="FF9C0006"/>
      </font>
      <fill>
        <patternFill>
          <bgColor rgb="FFFFC7CE"/>
        </patternFill>
      </fill>
    </dxf>
    <dxf>
      <font>
        <b/>
        <i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ont>
        <color rgb="FF800000"/>
      </font>
      <fill>
        <patternFill patternType="solid">
          <fgColor auto="1"/>
          <bgColor rgb="FFFF7979"/>
        </patternFill>
      </fill>
    </dxf>
    <dxf>
      <fill>
        <patternFill>
          <bgColor theme="9" tint="0.39994506668294322"/>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ont>
        <color rgb="FF800000"/>
      </font>
      <fill>
        <patternFill patternType="solid">
          <fgColor auto="1"/>
          <bgColor rgb="FFFF7979"/>
        </patternFill>
      </fill>
    </dxf>
    <dxf>
      <fill>
        <patternFill>
          <bgColor theme="9" tint="0.39994506668294322"/>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s>
  <tableStyles count="0" defaultTableStyle="TableStyleMedium2" defaultPivotStyle="PivotStyleLight16"/>
  <colors>
    <mruColors>
      <color rgb="FFA27B00"/>
      <color rgb="FF800000"/>
      <color rgb="FFFFFFCC"/>
      <color rgb="FFFF7C80"/>
      <color rgb="FFFF7979"/>
      <color rgb="FFFF5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571206</xdr:colOff>
      <xdr:row>1</xdr:row>
      <xdr:rowOff>83074</xdr:rowOff>
    </xdr:from>
    <xdr:to>
      <xdr:col>13</xdr:col>
      <xdr:colOff>352132</xdr:colOff>
      <xdr:row>31</xdr:row>
      <xdr:rowOff>117431</xdr:rowOff>
    </xdr:to>
    <xdr:sp macro="" textlink="">
      <xdr:nvSpPr>
        <xdr:cNvPr id="2" name="TextBox 1">
          <a:extLst>
            <a:ext uri="{FF2B5EF4-FFF2-40B4-BE49-F238E27FC236}">
              <a16:creationId xmlns:a16="http://schemas.microsoft.com/office/drawing/2014/main" id="{4C39F817-F10B-2AA0-530A-74DB5BC649A4}"/>
            </a:ext>
          </a:extLst>
        </xdr:cNvPr>
        <xdr:cNvSpPr txBox="1"/>
      </xdr:nvSpPr>
      <xdr:spPr>
        <a:xfrm>
          <a:off x="571206" y="278793"/>
          <a:ext cx="7753221" cy="5905933"/>
        </a:xfrm>
        <a:prstGeom prst="rect">
          <a:avLst/>
        </a:prstGeom>
        <a:solidFill>
          <a:schemeClr val="lt1"/>
        </a:solidFill>
        <a:ln w="9525" cmpd="sng">
          <a:solidFill>
            <a:schemeClr val="lt1">
              <a:shade val="50000"/>
            </a:schemeClr>
          </a:solidFill>
        </a:ln>
        <a:effectLst>
          <a:glow rad="228600">
            <a:schemeClr val="bg1">
              <a:lumMod val="6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a:t>Thank you for using the Optical Sprayer ROI Calculator</a:t>
          </a:r>
        </a:p>
        <a:p>
          <a:endParaRPr lang="en-CA" sz="1400" b="1"/>
        </a:p>
        <a:p>
          <a:r>
            <a:rPr lang="en-CA" sz="1400" b="0"/>
            <a:t>Please note that this tool is only as accurate as the information entered. I strongly encourage users to take some time to understand what each parameter represents before interpreting the results.</a:t>
          </a:r>
        </a:p>
        <a:p>
          <a:endParaRPr lang="en-CA" sz="1400" b="0"/>
        </a:p>
        <a:p>
          <a:r>
            <a:rPr lang="en-CA" sz="1400" b="0"/>
            <a:t>I recognize that this document can feel complex at first, so please do not hesitate to reach out if you need support. You can contact me at </a:t>
          </a:r>
          <a:r>
            <a:rPr lang="en-CA" sz="1400" b="1"/>
            <a:t>cesar.cappa@ontario.ca</a:t>
          </a:r>
          <a:r>
            <a:rPr lang="en-CA" sz="1400" b="0"/>
            <a:t>, and I will be happy to help.</a:t>
          </a:r>
        </a:p>
        <a:p>
          <a:endParaRPr lang="en-CA" sz="1400" b="0"/>
        </a:p>
        <a:p>
          <a:r>
            <a:rPr lang="en-CA" sz="1400" b="0"/>
            <a:t>I am also open to making adjustments to better reflect your operation and needs. This may include changes to crop species, herbicide programs, labour assumptions, or other parameters.</a:t>
          </a:r>
        </a:p>
        <a:p>
          <a:endParaRPr lang="en-CA" sz="1400" b="0"/>
        </a:p>
        <a:p>
          <a:r>
            <a:rPr lang="en-CA" sz="1400" b="0"/>
            <a:t>To begin using the calculator, complete only the cells shaded in light yellow. All other cells are protected to prevent accidental changes to formulas that could alter the results. The protection is not password-restricted, so you may unlock the sheets and modify them if needed.</a:t>
          </a:r>
        </a:p>
        <a:p>
          <a:endParaRPr lang="en-CA" sz="1400" b="0"/>
        </a:p>
        <a:p>
          <a:r>
            <a:rPr lang="en-CA" sz="1400" b="0"/>
            <a:t>The calculator is pre-filled with generic reference values. These are provided for guidance only and do not represent actual data from any specific operation.</a:t>
          </a:r>
        </a:p>
        <a:p>
          <a:endParaRPr lang="en-CA" sz="1400" b="0"/>
        </a:p>
        <a:p>
          <a:r>
            <a:rPr lang="en-CA" sz="1400" b="0"/>
            <a:t>If you need clarification on what a specific field represents, notes have been added to most rows. In addition, the tab “2. Sections explained” provides a detailed description of each table and section in the calculator.</a:t>
          </a:r>
        </a:p>
        <a:p>
          <a:endParaRPr lang="en-CA" sz="1400" b="0"/>
        </a:p>
        <a:p>
          <a:r>
            <a:rPr lang="en-CA" sz="1400" b="0"/>
            <a:t>I hope you find this tool useful. Please feel free to provide feedback and ask questions as needed.</a:t>
          </a:r>
        </a:p>
        <a:p>
          <a:endParaRPr lang="en-CA" sz="1400" b="1"/>
        </a:p>
        <a:p>
          <a:r>
            <a:rPr lang="en-CA" sz="1400" b="1"/>
            <a:t>Cesar</a:t>
          </a:r>
        </a:p>
        <a:p>
          <a:endParaRPr lang="en-CA" sz="1400"/>
        </a:p>
      </xdr:txBody>
    </xdr:sp>
    <xdr:clientData/>
  </xdr:twoCellAnchor>
  <xdr:twoCellAnchor>
    <xdr:from>
      <xdr:col>14</xdr:col>
      <xdr:colOff>92166</xdr:colOff>
      <xdr:row>1</xdr:row>
      <xdr:rowOff>109691</xdr:rowOff>
    </xdr:from>
    <xdr:to>
      <xdr:col>24</xdr:col>
      <xdr:colOff>318370</xdr:colOff>
      <xdr:row>20</xdr:row>
      <xdr:rowOff>52191</xdr:rowOff>
    </xdr:to>
    <xdr:sp macro="" textlink="">
      <xdr:nvSpPr>
        <xdr:cNvPr id="5" name="TextBox 4">
          <a:extLst>
            <a:ext uri="{FF2B5EF4-FFF2-40B4-BE49-F238E27FC236}">
              <a16:creationId xmlns:a16="http://schemas.microsoft.com/office/drawing/2014/main" id="{FD6FB73F-38E7-4571-80EA-DCD889CDC398}"/>
            </a:ext>
          </a:extLst>
        </xdr:cNvPr>
        <xdr:cNvSpPr txBox="1"/>
      </xdr:nvSpPr>
      <xdr:spPr>
        <a:xfrm>
          <a:off x="9079591" y="292362"/>
          <a:ext cx="6645793" cy="3413254"/>
        </a:xfrm>
        <a:prstGeom prst="rect">
          <a:avLst/>
        </a:prstGeom>
        <a:solidFill>
          <a:schemeClr val="lt1"/>
        </a:solidFill>
        <a:ln w="9525" cmpd="sng">
          <a:solidFill>
            <a:schemeClr val="lt1">
              <a:shade val="50000"/>
            </a:schemeClr>
          </a:solidFill>
        </a:ln>
        <a:effectLst>
          <a:glow rad="228600">
            <a:schemeClr val="bg1">
              <a:lumMod val="6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a:t>One note of caution</a:t>
          </a:r>
          <a:r>
            <a:rPr lang="en-CA" sz="1400" b="0"/>
            <a:t>: When entering the expected yield increases, avoid being overly optimistic. Even a small percentage increase can make the investment appear extraordinarily profitable, but such gains may not materialize.</a:t>
          </a:r>
        </a:p>
        <a:p>
          <a:endParaRPr lang="en-CA" sz="1400" b="0"/>
        </a:p>
        <a:p>
          <a:r>
            <a:rPr lang="en-CA" sz="1400" b="0"/>
            <a:t>In terms of crop tolerance, the herbicides registered for onions and carrots have been selected,</a:t>
          </a:r>
          <a:r>
            <a:rPr lang="en-CA" sz="1400" b="0" baseline="0"/>
            <a:t> </a:t>
          </a:r>
          <a:r>
            <a:rPr lang="en-CA" sz="1400" b="0"/>
            <a:t>among other factors,</a:t>
          </a:r>
          <a:r>
            <a:rPr lang="en-CA" sz="1400" b="0" baseline="0"/>
            <a:t> </a:t>
          </a:r>
          <a:r>
            <a:rPr lang="en-CA" sz="1400" b="0"/>
            <a:t>for their excellent crop tolerance. This means that when they are used according to recommendations, there is no significant yield penalty.</a:t>
          </a:r>
        </a:p>
        <a:p>
          <a:endParaRPr lang="en-CA" sz="1400" b="0"/>
        </a:p>
        <a:p>
          <a:r>
            <a:rPr lang="en-CA" sz="1400" b="0"/>
            <a:t>That said, this technology can deliver meaningful yield increases if applications occur under less-than-ideal conditions that reduce crop tolerance, such as situations that lead to crop stress. It can also become significant if its</a:t>
          </a:r>
          <a:r>
            <a:rPr lang="en-CA" sz="1400" b="0" baseline="0"/>
            <a:t> use leads </a:t>
          </a:r>
          <a:r>
            <a:rPr lang="en-CA" sz="1400" b="0"/>
            <a:t>reduced weed competition, particularly during the critical weed-free period when the crop is most vulnerable.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428625</xdr:colOff>
      <xdr:row>13</xdr:row>
      <xdr:rowOff>7326</xdr:rowOff>
    </xdr:from>
    <xdr:to>
      <xdr:col>4</xdr:col>
      <xdr:colOff>47624</xdr:colOff>
      <xdr:row>17</xdr:row>
      <xdr:rowOff>236366</xdr:rowOff>
    </xdr:to>
    <xdr:sp macro="" textlink="">
      <xdr:nvSpPr>
        <xdr:cNvPr id="2" name="Rectangle 1">
          <a:extLst>
            <a:ext uri="{FF2B5EF4-FFF2-40B4-BE49-F238E27FC236}">
              <a16:creationId xmlns:a16="http://schemas.microsoft.com/office/drawing/2014/main" id="{68759512-F37F-337B-EC4C-126C94C31F88}"/>
            </a:ext>
          </a:extLst>
        </xdr:cNvPr>
        <xdr:cNvSpPr/>
      </xdr:nvSpPr>
      <xdr:spPr>
        <a:xfrm>
          <a:off x="428625" y="3238499"/>
          <a:ext cx="6095999" cy="107896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47624</xdr:colOff>
      <xdr:row>13</xdr:row>
      <xdr:rowOff>185738</xdr:rowOff>
    </xdr:from>
    <xdr:to>
      <xdr:col>5</xdr:col>
      <xdr:colOff>276225</xdr:colOff>
      <xdr:row>15</xdr:row>
      <xdr:rowOff>121846</xdr:rowOff>
    </xdr:to>
    <xdr:cxnSp macro="">
      <xdr:nvCxnSpPr>
        <xdr:cNvPr id="4" name="Straight Arrow Connector 3">
          <a:extLst>
            <a:ext uri="{FF2B5EF4-FFF2-40B4-BE49-F238E27FC236}">
              <a16:creationId xmlns:a16="http://schemas.microsoft.com/office/drawing/2014/main" id="{8B2B3594-DF54-32E4-3A82-C44B41E3334A}"/>
            </a:ext>
          </a:extLst>
        </xdr:cNvPr>
        <xdr:cNvCxnSpPr>
          <a:stCxn id="6" idx="1"/>
          <a:endCxn id="2" idx="3"/>
        </xdr:cNvCxnSpPr>
      </xdr:nvCxnSpPr>
      <xdr:spPr>
        <a:xfrm flipH="1">
          <a:off x="6010274" y="3452813"/>
          <a:ext cx="1152526" cy="355208"/>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276225</xdr:colOff>
      <xdr:row>11</xdr:row>
      <xdr:rowOff>390525</xdr:rowOff>
    </xdr:from>
    <xdr:to>
      <xdr:col>7</xdr:col>
      <xdr:colOff>619125</xdr:colOff>
      <xdr:row>16</xdr:row>
      <xdr:rowOff>0</xdr:rowOff>
    </xdr:to>
    <xdr:sp macro="" textlink="">
      <xdr:nvSpPr>
        <xdr:cNvPr id="6" name="TextBox 5">
          <a:extLst>
            <a:ext uri="{FF2B5EF4-FFF2-40B4-BE49-F238E27FC236}">
              <a16:creationId xmlns:a16="http://schemas.microsoft.com/office/drawing/2014/main" id="{A765E6A2-85B8-3F3C-69B3-977E9F0C037D}"/>
            </a:ext>
          </a:extLst>
        </xdr:cNvPr>
        <xdr:cNvSpPr txBox="1"/>
      </xdr:nvSpPr>
      <xdr:spPr>
        <a:xfrm>
          <a:off x="7162800" y="3009900"/>
          <a:ext cx="2190750" cy="885825"/>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rgbClr val="800000"/>
              </a:solidFill>
              <a:effectLst/>
            </a:rPr>
            <a:t>Herbicide purchase prices. It's used to calculate savings through reduced chemicals use.</a:t>
          </a:r>
          <a:endParaRPr lang="en-CA" sz="1100" b="1">
            <a:solidFill>
              <a:srgbClr val="800000"/>
            </a:solidFill>
            <a:effectLst/>
          </a:endParaRPr>
        </a:p>
      </xdr:txBody>
    </xdr:sp>
    <xdr:clientData/>
  </xdr:twoCellAnchor>
  <xdr:twoCellAnchor>
    <xdr:from>
      <xdr:col>0</xdr:col>
      <xdr:colOff>426720</xdr:colOff>
      <xdr:row>6</xdr:row>
      <xdr:rowOff>0</xdr:rowOff>
    </xdr:from>
    <xdr:to>
      <xdr:col>4</xdr:col>
      <xdr:colOff>49529</xdr:colOff>
      <xdr:row>11</xdr:row>
      <xdr:rowOff>410307</xdr:rowOff>
    </xdr:to>
    <xdr:sp macro="" textlink="">
      <xdr:nvSpPr>
        <xdr:cNvPr id="8" name="Rectangle 7">
          <a:extLst>
            <a:ext uri="{FF2B5EF4-FFF2-40B4-BE49-F238E27FC236}">
              <a16:creationId xmlns:a16="http://schemas.microsoft.com/office/drawing/2014/main" id="{0AACB599-C721-401D-B676-445DF493EAA1}"/>
            </a:ext>
          </a:extLst>
        </xdr:cNvPr>
        <xdr:cNvSpPr/>
      </xdr:nvSpPr>
      <xdr:spPr>
        <a:xfrm>
          <a:off x="426720" y="1274885"/>
          <a:ext cx="6099809" cy="1736480"/>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47624</xdr:colOff>
      <xdr:row>8</xdr:row>
      <xdr:rowOff>185811</xdr:rowOff>
    </xdr:from>
    <xdr:to>
      <xdr:col>5</xdr:col>
      <xdr:colOff>230065</xdr:colOff>
      <xdr:row>9</xdr:row>
      <xdr:rowOff>200538</xdr:rowOff>
    </xdr:to>
    <xdr:cxnSp macro="">
      <xdr:nvCxnSpPr>
        <xdr:cNvPr id="9" name="Straight Arrow Connector 8">
          <a:extLst>
            <a:ext uri="{FF2B5EF4-FFF2-40B4-BE49-F238E27FC236}">
              <a16:creationId xmlns:a16="http://schemas.microsoft.com/office/drawing/2014/main" id="{3157D965-5C9E-4437-866D-3D8001EFD8C4}"/>
            </a:ext>
          </a:extLst>
        </xdr:cNvPr>
        <xdr:cNvCxnSpPr>
          <a:stCxn id="12" idx="1"/>
          <a:endCxn id="8" idx="3"/>
        </xdr:cNvCxnSpPr>
      </xdr:nvCxnSpPr>
      <xdr:spPr>
        <a:xfrm flipH="1">
          <a:off x="6524624" y="1885657"/>
          <a:ext cx="1186229" cy="256516"/>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230065</xdr:colOff>
      <xdr:row>7</xdr:row>
      <xdr:rowOff>102431</xdr:rowOff>
    </xdr:from>
    <xdr:to>
      <xdr:col>8</xdr:col>
      <xdr:colOff>47185</xdr:colOff>
      <xdr:row>9</xdr:row>
      <xdr:rowOff>239883</xdr:rowOff>
    </xdr:to>
    <xdr:sp macro="" textlink="">
      <xdr:nvSpPr>
        <xdr:cNvPr id="12" name="TextBox 11">
          <a:extLst>
            <a:ext uri="{FF2B5EF4-FFF2-40B4-BE49-F238E27FC236}">
              <a16:creationId xmlns:a16="http://schemas.microsoft.com/office/drawing/2014/main" id="{1334367A-EB54-4D3B-8AF1-0D89BDAD5EC5}"/>
            </a:ext>
          </a:extLst>
        </xdr:cNvPr>
        <xdr:cNvSpPr txBox="1"/>
      </xdr:nvSpPr>
      <xdr:spPr>
        <a:xfrm>
          <a:off x="7710853" y="1589796"/>
          <a:ext cx="2828486" cy="591722"/>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chemeClr val="accent6">
                  <a:lumMod val="50000"/>
                </a:schemeClr>
              </a:solidFill>
              <a:effectLst/>
            </a:rPr>
            <a:t>Information to calculate cost of purchase, maintenance, and operation of the sprayers.</a:t>
          </a:r>
          <a:endParaRPr lang="en-CA" sz="1100" b="1">
            <a:solidFill>
              <a:srgbClr val="800000"/>
            </a:solidFill>
            <a:effectLst/>
          </a:endParaRPr>
        </a:p>
      </xdr:txBody>
    </xdr:sp>
    <xdr:clientData/>
  </xdr:twoCellAnchor>
  <xdr:twoCellAnchor>
    <xdr:from>
      <xdr:col>0</xdr:col>
      <xdr:colOff>428625</xdr:colOff>
      <xdr:row>18</xdr:row>
      <xdr:rowOff>7326</xdr:rowOff>
    </xdr:from>
    <xdr:to>
      <xdr:col>4</xdr:col>
      <xdr:colOff>47624</xdr:colOff>
      <xdr:row>20</xdr:row>
      <xdr:rowOff>1</xdr:rowOff>
    </xdr:to>
    <xdr:sp macro="" textlink="">
      <xdr:nvSpPr>
        <xdr:cNvPr id="15" name="Rectangle 14">
          <a:extLst>
            <a:ext uri="{FF2B5EF4-FFF2-40B4-BE49-F238E27FC236}">
              <a16:creationId xmlns:a16="http://schemas.microsoft.com/office/drawing/2014/main" id="{21D45805-F925-40D1-8EB2-9A53E52F5B66}"/>
            </a:ext>
          </a:extLst>
        </xdr:cNvPr>
        <xdr:cNvSpPr/>
      </xdr:nvSpPr>
      <xdr:spPr>
        <a:xfrm>
          <a:off x="428625" y="4337538"/>
          <a:ext cx="6095999" cy="820617"/>
        </a:xfrm>
        <a:prstGeom prst="rect">
          <a:avLst/>
        </a:prstGeom>
        <a:no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47624</xdr:colOff>
      <xdr:row>18</xdr:row>
      <xdr:rowOff>276959</xdr:rowOff>
    </xdr:from>
    <xdr:to>
      <xdr:col>5</xdr:col>
      <xdr:colOff>303333</xdr:colOff>
      <xdr:row>19</xdr:row>
      <xdr:rowOff>8426</xdr:rowOff>
    </xdr:to>
    <xdr:cxnSp macro="">
      <xdr:nvCxnSpPr>
        <xdr:cNvPr id="16" name="Straight Arrow Connector 15">
          <a:extLst>
            <a:ext uri="{FF2B5EF4-FFF2-40B4-BE49-F238E27FC236}">
              <a16:creationId xmlns:a16="http://schemas.microsoft.com/office/drawing/2014/main" id="{33E0159E-503F-4F19-B8BE-2E77494BD185}"/>
            </a:ext>
          </a:extLst>
        </xdr:cNvPr>
        <xdr:cNvCxnSpPr>
          <a:stCxn id="17" idx="1"/>
          <a:endCxn id="15" idx="3"/>
        </xdr:cNvCxnSpPr>
      </xdr:nvCxnSpPr>
      <xdr:spPr>
        <a:xfrm flipH="1">
          <a:off x="6010274" y="4629884"/>
          <a:ext cx="1179634" cy="150567"/>
        </a:xfrm>
        <a:prstGeom prst="straightConnector1">
          <a:avLst/>
        </a:prstGeom>
        <a:ln w="57150">
          <a:solidFill>
            <a:srgbClr val="00206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303333</xdr:colOff>
      <xdr:row>17</xdr:row>
      <xdr:rowOff>45428</xdr:rowOff>
    </xdr:from>
    <xdr:to>
      <xdr:col>11</xdr:col>
      <xdr:colOff>287215</xdr:colOff>
      <xdr:row>19</xdr:row>
      <xdr:rowOff>337039</xdr:rowOff>
    </xdr:to>
    <xdr:sp macro="" textlink="">
      <xdr:nvSpPr>
        <xdr:cNvPr id="17" name="TextBox 16">
          <a:extLst>
            <a:ext uri="{FF2B5EF4-FFF2-40B4-BE49-F238E27FC236}">
              <a16:creationId xmlns:a16="http://schemas.microsoft.com/office/drawing/2014/main" id="{14DBBF12-B20B-446E-B5E2-B4D0574E0D1B}"/>
            </a:ext>
          </a:extLst>
        </xdr:cNvPr>
        <xdr:cNvSpPr txBox="1"/>
      </xdr:nvSpPr>
      <xdr:spPr>
        <a:xfrm>
          <a:off x="7189908" y="4150703"/>
          <a:ext cx="5117857" cy="958361"/>
        </a:xfrm>
        <a:prstGeom prst="rect">
          <a:avLst/>
        </a:prstGeom>
        <a:solidFill>
          <a:schemeClr val="lt1"/>
        </a:solidFill>
        <a:ln w="9525" cmpd="sng">
          <a:solidFill>
            <a:srgbClr val="002060"/>
          </a:solidFill>
        </a:ln>
        <a:effectLst>
          <a:glow rad="63500">
            <a:schemeClr val="accent1">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002060"/>
              </a:solidFill>
              <a:effectLst/>
            </a:rPr>
            <a:t>This section may be challenging to complete, but it is crucial for evaluating the benefits of investing in a sprayer if a yield increase is expected. The information requested here is used to calculate the net revenue expected from the yield increase associated with using an optical sprayer. If the company  sorts, cleans and packs the</a:t>
          </a:r>
          <a:r>
            <a:rPr lang="en-CA" sz="1100" b="1" baseline="0">
              <a:solidFill>
                <a:srgbClr val="002060"/>
              </a:solidFill>
              <a:effectLst/>
            </a:rPr>
            <a:t> the product</a:t>
          </a:r>
          <a:r>
            <a:rPr lang="en-CA" sz="1100" b="1">
              <a:solidFill>
                <a:srgbClr val="002060"/>
              </a:solidFill>
              <a:effectLst/>
            </a:rPr>
            <a:t>, the cost of those operations should be included</a:t>
          </a:r>
        </a:p>
      </xdr:txBody>
    </xdr:sp>
    <xdr:clientData/>
  </xdr:twoCellAnchor>
  <xdr:twoCellAnchor>
    <xdr:from>
      <xdr:col>0</xdr:col>
      <xdr:colOff>419100</xdr:colOff>
      <xdr:row>20</xdr:row>
      <xdr:rowOff>200025</xdr:rowOff>
    </xdr:from>
    <xdr:to>
      <xdr:col>4</xdr:col>
      <xdr:colOff>57149</xdr:colOff>
      <xdr:row>25</xdr:row>
      <xdr:rowOff>36635</xdr:rowOff>
    </xdr:to>
    <xdr:sp macro="" textlink="">
      <xdr:nvSpPr>
        <xdr:cNvPr id="19" name="Rectangle 18">
          <a:extLst>
            <a:ext uri="{FF2B5EF4-FFF2-40B4-BE49-F238E27FC236}">
              <a16:creationId xmlns:a16="http://schemas.microsoft.com/office/drawing/2014/main" id="{D4C029F8-DDE8-48F0-B59F-BBD5AE49E04D}"/>
            </a:ext>
          </a:extLst>
        </xdr:cNvPr>
        <xdr:cNvSpPr/>
      </xdr:nvSpPr>
      <xdr:spPr>
        <a:xfrm>
          <a:off x="419100" y="3951410"/>
          <a:ext cx="5602164" cy="935648"/>
        </a:xfrm>
        <a:prstGeom prst="rect">
          <a:avLst/>
        </a:prstGeom>
        <a:no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57149</xdr:colOff>
      <xdr:row>23</xdr:row>
      <xdr:rowOff>37368</xdr:rowOff>
    </xdr:from>
    <xdr:to>
      <xdr:col>5</xdr:col>
      <xdr:colOff>288680</xdr:colOff>
      <xdr:row>23</xdr:row>
      <xdr:rowOff>43009</xdr:rowOff>
    </xdr:to>
    <xdr:cxnSp macro="">
      <xdr:nvCxnSpPr>
        <xdr:cNvPr id="20" name="Straight Arrow Connector 19">
          <a:extLst>
            <a:ext uri="{FF2B5EF4-FFF2-40B4-BE49-F238E27FC236}">
              <a16:creationId xmlns:a16="http://schemas.microsoft.com/office/drawing/2014/main" id="{00589B52-A083-4248-AAD5-9BB3D9C5B1F0}"/>
            </a:ext>
          </a:extLst>
        </xdr:cNvPr>
        <xdr:cNvCxnSpPr>
          <a:stCxn id="21" idx="1"/>
          <a:endCxn id="19" idx="3"/>
        </xdr:cNvCxnSpPr>
      </xdr:nvCxnSpPr>
      <xdr:spPr>
        <a:xfrm flipH="1" flipV="1">
          <a:off x="6019799" y="5866668"/>
          <a:ext cx="1155456" cy="5641"/>
        </a:xfrm>
        <a:prstGeom prst="straightConnector1">
          <a:avLst/>
        </a:prstGeom>
        <a:ln w="57150">
          <a:solidFill>
            <a:srgbClr val="7030A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288680</xdr:colOff>
      <xdr:row>21</xdr:row>
      <xdr:rowOff>293</xdr:rowOff>
    </xdr:from>
    <xdr:to>
      <xdr:col>12</xdr:col>
      <xdr:colOff>572526</xdr:colOff>
      <xdr:row>25</xdr:row>
      <xdr:rowOff>28575</xdr:rowOff>
    </xdr:to>
    <xdr:sp macro="" textlink="">
      <xdr:nvSpPr>
        <xdr:cNvPr id="21" name="TextBox 20">
          <a:extLst>
            <a:ext uri="{FF2B5EF4-FFF2-40B4-BE49-F238E27FC236}">
              <a16:creationId xmlns:a16="http://schemas.microsoft.com/office/drawing/2014/main" id="{F9487291-2DF8-4C78-BB00-45F160FF7054}"/>
            </a:ext>
          </a:extLst>
        </xdr:cNvPr>
        <xdr:cNvSpPr txBox="1"/>
      </xdr:nvSpPr>
      <xdr:spPr>
        <a:xfrm>
          <a:off x="7175255" y="5420018"/>
          <a:ext cx="6256021" cy="904582"/>
        </a:xfrm>
        <a:prstGeom prst="rect">
          <a:avLst/>
        </a:prstGeom>
        <a:solidFill>
          <a:schemeClr val="lt1"/>
        </a:solidFill>
        <a:ln w="9525" cmpd="sng">
          <a:solidFill>
            <a:srgbClr val="7030A0"/>
          </a:solidFill>
        </a:ln>
        <a:effectLst>
          <a:glow rad="63500">
            <a:schemeClr val="accent5">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CA" sz="1100" b="1">
              <a:solidFill>
                <a:srgbClr val="7030A0"/>
              </a:solidFill>
              <a:effectLst/>
              <a:latin typeface="+mn-lt"/>
              <a:ea typeface="+mn-ea"/>
              <a:cs typeface="+mn-cs"/>
            </a:rPr>
            <a:t>Yield with a conventional sprayer, and the expected increase when using an optical sprayer, resulting from reduced phytotoxicity and improved weed control. The bottom line is extremely sensitive to this parameter and, in many cases, it can be the most decisive factor in the economic performance of this technology. Careful consideration is therefore strongly recommended when assigning values. Anecdotally, growers have reported yield increases exceeding 5%.</a:t>
          </a:r>
        </a:p>
      </xdr:txBody>
    </xdr:sp>
    <xdr:clientData/>
  </xdr:twoCellAnchor>
  <xdr:twoCellAnchor>
    <xdr:from>
      <xdr:col>0</xdr:col>
      <xdr:colOff>428624</xdr:colOff>
      <xdr:row>25</xdr:row>
      <xdr:rowOff>152400</xdr:rowOff>
    </xdr:from>
    <xdr:to>
      <xdr:col>4</xdr:col>
      <xdr:colOff>57149</xdr:colOff>
      <xdr:row>28</xdr:row>
      <xdr:rowOff>38100</xdr:rowOff>
    </xdr:to>
    <xdr:sp macro="" textlink="">
      <xdr:nvSpPr>
        <xdr:cNvPr id="23" name="Rectangle 22">
          <a:extLst>
            <a:ext uri="{FF2B5EF4-FFF2-40B4-BE49-F238E27FC236}">
              <a16:creationId xmlns:a16="http://schemas.microsoft.com/office/drawing/2014/main" id="{1B0965A7-65C6-483C-A489-B320CA7C4103}"/>
            </a:ext>
          </a:extLst>
        </xdr:cNvPr>
        <xdr:cNvSpPr/>
      </xdr:nvSpPr>
      <xdr:spPr>
        <a:xfrm>
          <a:off x="428624" y="3800475"/>
          <a:ext cx="5591175" cy="771525"/>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57149</xdr:colOff>
      <xdr:row>26</xdr:row>
      <xdr:rowOff>319088</xdr:rowOff>
    </xdr:from>
    <xdr:to>
      <xdr:col>5</xdr:col>
      <xdr:colOff>280182</xdr:colOff>
      <xdr:row>26</xdr:row>
      <xdr:rowOff>328613</xdr:rowOff>
    </xdr:to>
    <xdr:cxnSp macro="">
      <xdr:nvCxnSpPr>
        <xdr:cNvPr id="24" name="Straight Arrow Connector 23">
          <a:extLst>
            <a:ext uri="{FF2B5EF4-FFF2-40B4-BE49-F238E27FC236}">
              <a16:creationId xmlns:a16="http://schemas.microsoft.com/office/drawing/2014/main" id="{725880A8-A34B-4E37-9EC9-72AC2033DFD9}"/>
            </a:ext>
          </a:extLst>
        </xdr:cNvPr>
        <xdr:cNvCxnSpPr>
          <a:stCxn id="25" idx="1"/>
          <a:endCxn id="23" idx="3"/>
        </xdr:cNvCxnSpPr>
      </xdr:nvCxnSpPr>
      <xdr:spPr>
        <a:xfrm flipH="1" flipV="1">
          <a:off x="6019799" y="6834188"/>
          <a:ext cx="1146958" cy="9525"/>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280182</xdr:colOff>
      <xdr:row>26</xdr:row>
      <xdr:rowOff>85725</xdr:rowOff>
    </xdr:from>
    <xdr:to>
      <xdr:col>8</xdr:col>
      <xdr:colOff>718332</xdr:colOff>
      <xdr:row>27</xdr:row>
      <xdr:rowOff>238125</xdr:rowOff>
    </xdr:to>
    <xdr:sp macro="" textlink="">
      <xdr:nvSpPr>
        <xdr:cNvPr id="25" name="TextBox 24">
          <a:extLst>
            <a:ext uri="{FF2B5EF4-FFF2-40B4-BE49-F238E27FC236}">
              <a16:creationId xmlns:a16="http://schemas.microsoft.com/office/drawing/2014/main" id="{D027DC8B-DBC1-441C-8238-BCBA16911BA4}"/>
            </a:ext>
          </a:extLst>
        </xdr:cNvPr>
        <xdr:cNvSpPr txBox="1"/>
      </xdr:nvSpPr>
      <xdr:spPr>
        <a:xfrm>
          <a:off x="7166757" y="6600825"/>
          <a:ext cx="3209925" cy="485775"/>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chemeClr val="accent6">
                  <a:lumMod val="50000"/>
                </a:schemeClr>
              </a:solidFill>
              <a:effectLst/>
            </a:rPr>
            <a:t>Field capacity refers to the number of hectares that can be sprayed per hour with each type of sprayer.</a:t>
          </a:r>
          <a:endParaRPr lang="en-CA" sz="1100" b="1">
            <a:solidFill>
              <a:srgbClr val="800000"/>
            </a:solidFill>
            <a:effectLst/>
          </a:endParaRPr>
        </a:p>
      </xdr:txBody>
    </xdr:sp>
    <xdr:clientData/>
  </xdr:twoCellAnchor>
  <xdr:twoCellAnchor>
    <xdr:from>
      <xdr:col>0</xdr:col>
      <xdr:colOff>428624</xdr:colOff>
      <xdr:row>28</xdr:row>
      <xdr:rowOff>104776</xdr:rowOff>
    </xdr:from>
    <xdr:to>
      <xdr:col>4</xdr:col>
      <xdr:colOff>66675</xdr:colOff>
      <xdr:row>31</xdr:row>
      <xdr:rowOff>66676</xdr:rowOff>
    </xdr:to>
    <xdr:sp macro="" textlink="">
      <xdr:nvSpPr>
        <xdr:cNvPr id="35" name="Rectangle 34">
          <a:extLst>
            <a:ext uri="{FF2B5EF4-FFF2-40B4-BE49-F238E27FC236}">
              <a16:creationId xmlns:a16="http://schemas.microsoft.com/office/drawing/2014/main" id="{36E5068D-9BF4-4DE1-83F0-44BEA2908A3B}"/>
            </a:ext>
          </a:extLst>
        </xdr:cNvPr>
        <xdr:cNvSpPr/>
      </xdr:nvSpPr>
      <xdr:spPr>
        <a:xfrm>
          <a:off x="428624" y="4638676"/>
          <a:ext cx="5600701" cy="6667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66675</xdr:colOff>
      <xdr:row>30</xdr:row>
      <xdr:rowOff>4764</xdr:rowOff>
    </xdr:from>
    <xdr:to>
      <xdr:col>5</xdr:col>
      <xdr:colOff>226547</xdr:colOff>
      <xdr:row>30</xdr:row>
      <xdr:rowOff>20955</xdr:rowOff>
    </xdr:to>
    <xdr:cxnSp macro="">
      <xdr:nvCxnSpPr>
        <xdr:cNvPr id="36" name="Straight Arrow Connector 35">
          <a:extLst>
            <a:ext uri="{FF2B5EF4-FFF2-40B4-BE49-F238E27FC236}">
              <a16:creationId xmlns:a16="http://schemas.microsoft.com/office/drawing/2014/main" id="{73C5386B-AEB7-454F-A61A-31ED1D00BDB8}"/>
            </a:ext>
          </a:extLst>
        </xdr:cNvPr>
        <xdr:cNvCxnSpPr>
          <a:stCxn id="37" idx="1"/>
          <a:endCxn id="35" idx="3"/>
        </xdr:cNvCxnSpPr>
      </xdr:nvCxnSpPr>
      <xdr:spPr>
        <a:xfrm flipH="1" flipV="1">
          <a:off x="6029325" y="7986714"/>
          <a:ext cx="1083797" cy="16191"/>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226547</xdr:colOff>
      <xdr:row>29</xdr:row>
      <xdr:rowOff>175259</xdr:rowOff>
    </xdr:from>
    <xdr:to>
      <xdr:col>10</xdr:col>
      <xdr:colOff>485774</xdr:colOff>
      <xdr:row>30</xdr:row>
      <xdr:rowOff>495301</xdr:rowOff>
    </xdr:to>
    <xdr:sp macro="" textlink="">
      <xdr:nvSpPr>
        <xdr:cNvPr id="37" name="TextBox 36">
          <a:extLst>
            <a:ext uri="{FF2B5EF4-FFF2-40B4-BE49-F238E27FC236}">
              <a16:creationId xmlns:a16="http://schemas.microsoft.com/office/drawing/2014/main" id="{08AA483F-5FE5-4011-9860-07F2F19F382C}"/>
            </a:ext>
          </a:extLst>
        </xdr:cNvPr>
        <xdr:cNvSpPr txBox="1"/>
      </xdr:nvSpPr>
      <xdr:spPr>
        <a:xfrm>
          <a:off x="7113122" y="7528559"/>
          <a:ext cx="4793127" cy="948692"/>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rgbClr val="800000"/>
              </a:solidFill>
              <a:effectLst/>
            </a:rPr>
            <a:t>The crop sale price is used to calculate the revenue increase associated with yield gains. This value may represent the farm-gate price or the price of washed, graded, and packed product, depending on the operation. In the latter case, it is important to also include the corresponding processing costs, as specified in the sections above.</a:t>
          </a:r>
          <a:endParaRPr lang="en-CA" sz="1100" b="1">
            <a:solidFill>
              <a:srgbClr val="800000"/>
            </a:solidFill>
            <a:effectLst/>
          </a:endParaRPr>
        </a:p>
      </xdr:txBody>
    </xdr:sp>
    <xdr:clientData/>
  </xdr:twoCellAnchor>
  <xdr:twoCellAnchor>
    <xdr:from>
      <xdr:col>0</xdr:col>
      <xdr:colOff>428626</xdr:colOff>
      <xdr:row>31</xdr:row>
      <xdr:rowOff>171450</xdr:rowOff>
    </xdr:from>
    <xdr:to>
      <xdr:col>4</xdr:col>
      <xdr:colOff>66676</xdr:colOff>
      <xdr:row>36</xdr:row>
      <xdr:rowOff>57151</xdr:rowOff>
    </xdr:to>
    <xdr:sp macro="" textlink="">
      <xdr:nvSpPr>
        <xdr:cNvPr id="38" name="Rectangle 37">
          <a:extLst>
            <a:ext uri="{FF2B5EF4-FFF2-40B4-BE49-F238E27FC236}">
              <a16:creationId xmlns:a16="http://schemas.microsoft.com/office/drawing/2014/main" id="{555F7D31-5DA8-49FE-9498-A35B06EA8D26}"/>
            </a:ext>
          </a:extLst>
        </xdr:cNvPr>
        <xdr:cNvSpPr/>
      </xdr:nvSpPr>
      <xdr:spPr>
        <a:xfrm>
          <a:off x="428626" y="6457950"/>
          <a:ext cx="5600700" cy="1790701"/>
        </a:xfrm>
        <a:prstGeom prst="rect">
          <a:avLst/>
        </a:prstGeom>
        <a:no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66676</xdr:colOff>
      <xdr:row>33</xdr:row>
      <xdr:rowOff>146171</xdr:rowOff>
    </xdr:from>
    <xdr:to>
      <xdr:col>5</xdr:col>
      <xdr:colOff>226400</xdr:colOff>
      <xdr:row>34</xdr:row>
      <xdr:rowOff>9526</xdr:rowOff>
    </xdr:to>
    <xdr:cxnSp macro="">
      <xdr:nvCxnSpPr>
        <xdr:cNvPr id="39" name="Straight Arrow Connector 38">
          <a:extLst>
            <a:ext uri="{FF2B5EF4-FFF2-40B4-BE49-F238E27FC236}">
              <a16:creationId xmlns:a16="http://schemas.microsoft.com/office/drawing/2014/main" id="{D8A739AC-5941-4A08-A928-219F6242E0A7}"/>
            </a:ext>
          </a:extLst>
        </xdr:cNvPr>
        <xdr:cNvCxnSpPr>
          <a:stCxn id="40" idx="1"/>
          <a:endCxn id="38" idx="3"/>
        </xdr:cNvCxnSpPr>
      </xdr:nvCxnSpPr>
      <xdr:spPr>
        <a:xfrm flipH="1">
          <a:off x="6029326" y="9404471"/>
          <a:ext cx="1083649" cy="282455"/>
        </a:xfrm>
        <a:prstGeom prst="straightConnector1">
          <a:avLst/>
        </a:prstGeom>
        <a:ln w="57150">
          <a:solidFill>
            <a:srgbClr val="00206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226400</xdr:colOff>
      <xdr:row>32</xdr:row>
      <xdr:rowOff>150933</xdr:rowOff>
    </xdr:from>
    <xdr:to>
      <xdr:col>11</xdr:col>
      <xdr:colOff>350226</xdr:colOff>
      <xdr:row>34</xdr:row>
      <xdr:rowOff>141408</xdr:rowOff>
    </xdr:to>
    <xdr:sp macro="" textlink="">
      <xdr:nvSpPr>
        <xdr:cNvPr id="40" name="TextBox 39">
          <a:extLst>
            <a:ext uri="{FF2B5EF4-FFF2-40B4-BE49-F238E27FC236}">
              <a16:creationId xmlns:a16="http://schemas.microsoft.com/office/drawing/2014/main" id="{96378BD7-7C0B-469E-AFE4-C7A19B3FDED4}"/>
            </a:ext>
          </a:extLst>
        </xdr:cNvPr>
        <xdr:cNvSpPr txBox="1"/>
      </xdr:nvSpPr>
      <xdr:spPr>
        <a:xfrm>
          <a:off x="7112975" y="8990133"/>
          <a:ext cx="5257801" cy="828675"/>
        </a:xfrm>
        <a:prstGeom prst="rect">
          <a:avLst/>
        </a:prstGeom>
        <a:solidFill>
          <a:schemeClr val="lt1"/>
        </a:solidFill>
        <a:ln w="9525" cmpd="sng">
          <a:solidFill>
            <a:srgbClr val="002060"/>
          </a:solidFill>
        </a:ln>
        <a:effectLst>
          <a:glow rad="63500">
            <a:schemeClr val="accent1">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002060"/>
              </a:solidFill>
              <a:effectLst/>
            </a:rPr>
            <a:t>Hand weeding requirements are typically reduced when using an optical sprayer, and the associated cost savings can be substantial for certain crops, such as onions. In this section, enter the total hours per hectare expected to be required when using a conventional sprayer versus an optical sprayer.</a:t>
          </a:r>
        </a:p>
      </xdr:txBody>
    </xdr:sp>
    <xdr:clientData/>
  </xdr:twoCellAnchor>
  <xdr:twoCellAnchor>
    <xdr:from>
      <xdr:col>0</xdr:col>
      <xdr:colOff>428624</xdr:colOff>
      <xdr:row>36</xdr:row>
      <xdr:rowOff>161925</xdr:rowOff>
    </xdr:from>
    <xdr:to>
      <xdr:col>4</xdr:col>
      <xdr:colOff>57149</xdr:colOff>
      <xdr:row>41</xdr:row>
      <xdr:rowOff>85725</xdr:rowOff>
    </xdr:to>
    <xdr:sp macro="" textlink="">
      <xdr:nvSpPr>
        <xdr:cNvPr id="41" name="Rectangle 40">
          <a:extLst>
            <a:ext uri="{FF2B5EF4-FFF2-40B4-BE49-F238E27FC236}">
              <a16:creationId xmlns:a16="http://schemas.microsoft.com/office/drawing/2014/main" id="{669B363F-E397-4B2F-A0F9-145A3B29D2E5}"/>
            </a:ext>
          </a:extLst>
        </xdr:cNvPr>
        <xdr:cNvSpPr/>
      </xdr:nvSpPr>
      <xdr:spPr>
        <a:xfrm>
          <a:off x="428624" y="7305675"/>
          <a:ext cx="5591175" cy="1171575"/>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57149</xdr:colOff>
      <xdr:row>37</xdr:row>
      <xdr:rowOff>70339</xdr:rowOff>
    </xdr:from>
    <xdr:to>
      <xdr:col>5</xdr:col>
      <xdr:colOff>239589</xdr:colOff>
      <xdr:row>39</xdr:row>
      <xdr:rowOff>14288</xdr:rowOff>
    </xdr:to>
    <xdr:cxnSp macro="">
      <xdr:nvCxnSpPr>
        <xdr:cNvPr id="42" name="Straight Arrow Connector 41">
          <a:extLst>
            <a:ext uri="{FF2B5EF4-FFF2-40B4-BE49-F238E27FC236}">
              <a16:creationId xmlns:a16="http://schemas.microsoft.com/office/drawing/2014/main" id="{AA2D9B98-EFF1-4429-896E-78F3147EEA8D}"/>
            </a:ext>
          </a:extLst>
        </xdr:cNvPr>
        <xdr:cNvCxnSpPr>
          <a:stCxn id="46" idx="1"/>
          <a:endCxn id="41" idx="3"/>
        </xdr:cNvCxnSpPr>
      </xdr:nvCxnSpPr>
      <xdr:spPr>
        <a:xfrm flipH="1">
          <a:off x="6019799" y="10814539"/>
          <a:ext cx="1106365" cy="458299"/>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47626</xdr:colOff>
      <xdr:row>41</xdr:row>
      <xdr:rowOff>143975</xdr:rowOff>
    </xdr:from>
    <xdr:to>
      <xdr:col>5</xdr:col>
      <xdr:colOff>209550</xdr:colOff>
      <xdr:row>42</xdr:row>
      <xdr:rowOff>100013</xdr:rowOff>
    </xdr:to>
    <xdr:cxnSp macro="">
      <xdr:nvCxnSpPr>
        <xdr:cNvPr id="44" name="Straight Arrow Connector 43">
          <a:extLst>
            <a:ext uri="{FF2B5EF4-FFF2-40B4-BE49-F238E27FC236}">
              <a16:creationId xmlns:a16="http://schemas.microsoft.com/office/drawing/2014/main" id="{26B0CED3-50DC-4056-9FF9-D8C045D3686A}"/>
            </a:ext>
          </a:extLst>
        </xdr:cNvPr>
        <xdr:cNvCxnSpPr>
          <a:stCxn id="67" idx="1"/>
          <a:endCxn id="45" idx="3"/>
        </xdr:cNvCxnSpPr>
      </xdr:nvCxnSpPr>
      <xdr:spPr>
        <a:xfrm flipH="1">
          <a:off x="6057901" y="11916875"/>
          <a:ext cx="1085849" cy="213213"/>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733425</xdr:colOff>
      <xdr:row>41</xdr:row>
      <xdr:rowOff>209550</xdr:rowOff>
    </xdr:from>
    <xdr:to>
      <xdr:col>4</xdr:col>
      <xdr:colOff>47626</xdr:colOff>
      <xdr:row>43</xdr:row>
      <xdr:rowOff>28575</xdr:rowOff>
    </xdr:to>
    <xdr:sp macro="" textlink="">
      <xdr:nvSpPr>
        <xdr:cNvPr id="45" name="Rectangle 44">
          <a:extLst>
            <a:ext uri="{FF2B5EF4-FFF2-40B4-BE49-F238E27FC236}">
              <a16:creationId xmlns:a16="http://schemas.microsoft.com/office/drawing/2014/main" id="{3A0B3CD7-B6A3-4933-B50E-DF53DC16F64D}"/>
            </a:ext>
          </a:extLst>
        </xdr:cNvPr>
        <xdr:cNvSpPr/>
      </xdr:nvSpPr>
      <xdr:spPr>
        <a:xfrm>
          <a:off x="1219200" y="11982450"/>
          <a:ext cx="4838701" cy="2952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5</xdr:col>
      <xdr:colOff>239589</xdr:colOff>
      <xdr:row>35</xdr:row>
      <xdr:rowOff>98180</xdr:rowOff>
    </xdr:from>
    <xdr:to>
      <xdr:col>9</xdr:col>
      <xdr:colOff>420564</xdr:colOff>
      <xdr:row>39</xdr:row>
      <xdr:rowOff>175847</xdr:rowOff>
    </xdr:to>
    <xdr:sp macro="" textlink="">
      <xdr:nvSpPr>
        <xdr:cNvPr id="46" name="TextBox 45">
          <a:extLst>
            <a:ext uri="{FF2B5EF4-FFF2-40B4-BE49-F238E27FC236}">
              <a16:creationId xmlns:a16="http://schemas.microsoft.com/office/drawing/2014/main" id="{4F7C4283-7C07-4A7B-AD92-8BD171D1EA3A}"/>
            </a:ext>
          </a:extLst>
        </xdr:cNvPr>
        <xdr:cNvSpPr txBox="1"/>
      </xdr:nvSpPr>
      <xdr:spPr>
        <a:xfrm>
          <a:off x="7126164" y="10194680"/>
          <a:ext cx="3876675" cy="1239717"/>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chemeClr val="accent6">
                  <a:lumMod val="50000"/>
                </a:schemeClr>
              </a:solidFill>
              <a:effectLst/>
            </a:rPr>
            <a:t>This information is optional. Complete it only if you plan to finance the unit and want to estimate monthly payments, or if you are familiar with financial concepts such as Net Present Value (NPV) and Internal Rate of Return (IRR). If this information is not relevant to you, you may skip this section.</a:t>
          </a:r>
          <a:endParaRPr lang="en-CA" sz="1100" b="1">
            <a:solidFill>
              <a:srgbClr val="800000"/>
            </a:solidFill>
            <a:effectLst/>
          </a:endParaRPr>
        </a:p>
      </xdr:txBody>
    </xdr:sp>
    <xdr:clientData/>
  </xdr:twoCellAnchor>
  <xdr:twoCellAnchor>
    <xdr:from>
      <xdr:col>2</xdr:col>
      <xdr:colOff>1924050</xdr:colOff>
      <xdr:row>1</xdr:row>
      <xdr:rowOff>19049</xdr:rowOff>
    </xdr:from>
    <xdr:to>
      <xdr:col>6</xdr:col>
      <xdr:colOff>752475</xdr:colOff>
      <xdr:row>4</xdr:row>
      <xdr:rowOff>76200</xdr:rowOff>
    </xdr:to>
    <xdr:sp macro="" textlink="">
      <xdr:nvSpPr>
        <xdr:cNvPr id="51" name="TextBox 50">
          <a:extLst>
            <a:ext uri="{FF2B5EF4-FFF2-40B4-BE49-F238E27FC236}">
              <a16:creationId xmlns:a16="http://schemas.microsoft.com/office/drawing/2014/main" id="{CA01C347-28F3-DF1D-F238-756736655904}"/>
            </a:ext>
          </a:extLst>
        </xdr:cNvPr>
        <xdr:cNvSpPr txBox="1"/>
      </xdr:nvSpPr>
      <xdr:spPr>
        <a:xfrm>
          <a:off x="3190875" y="228599"/>
          <a:ext cx="5372100" cy="685801"/>
        </a:xfrm>
        <a:prstGeom prst="rect">
          <a:avLst/>
        </a:prstGeom>
        <a:solidFill>
          <a:schemeClr val="accent3">
            <a:lumMod val="40000"/>
            <a:lumOff val="60000"/>
          </a:schemeClr>
        </a:solidFill>
        <a:ln>
          <a:solidFill>
            <a:schemeClr val="accent6">
              <a:lumMod val="40000"/>
              <a:lumOff val="60000"/>
            </a:schemeClr>
          </a:solidFill>
        </a:ln>
        <a:effectLst>
          <a:glow rad="63500">
            <a:schemeClr val="accent6">
              <a:satMod val="175000"/>
              <a:alpha val="40000"/>
            </a:schemeClr>
          </a:glow>
        </a:effectLst>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lang="en-CA" sz="1600" b="1">
              <a:solidFill>
                <a:schemeClr val="accent5">
                  <a:lumMod val="50000"/>
                </a:schemeClr>
              </a:solidFill>
            </a:rPr>
            <a:t>Only cells</a:t>
          </a:r>
          <a:r>
            <a:rPr lang="en-CA" sz="1600" b="1" baseline="0">
              <a:solidFill>
                <a:schemeClr val="accent5">
                  <a:lumMod val="50000"/>
                </a:schemeClr>
              </a:solidFill>
            </a:rPr>
            <a:t> highlited in light yellow are input cells. The rest are the result of calculations and should not be modified</a:t>
          </a:r>
          <a:endParaRPr lang="en-CA" sz="1600" b="1">
            <a:solidFill>
              <a:schemeClr val="accent5">
                <a:lumMod val="50000"/>
              </a:schemeClr>
            </a:solidFill>
          </a:endParaRPr>
        </a:p>
      </xdr:txBody>
    </xdr:sp>
    <xdr:clientData/>
  </xdr:twoCellAnchor>
  <xdr:twoCellAnchor>
    <xdr:from>
      <xdr:col>5</xdr:col>
      <xdr:colOff>209550</xdr:colOff>
      <xdr:row>40</xdr:row>
      <xdr:rowOff>92320</xdr:rowOff>
    </xdr:from>
    <xdr:to>
      <xdr:col>9</xdr:col>
      <xdr:colOff>507023</xdr:colOff>
      <xdr:row>42</xdr:row>
      <xdr:rowOff>195630</xdr:rowOff>
    </xdr:to>
    <xdr:sp macro="" textlink="">
      <xdr:nvSpPr>
        <xdr:cNvPr id="67" name="TextBox 66">
          <a:extLst>
            <a:ext uri="{FF2B5EF4-FFF2-40B4-BE49-F238E27FC236}">
              <a16:creationId xmlns:a16="http://schemas.microsoft.com/office/drawing/2014/main" id="{0EF38B87-D38F-4598-B33C-43B49277E08F}"/>
            </a:ext>
          </a:extLst>
        </xdr:cNvPr>
        <xdr:cNvSpPr txBox="1"/>
      </xdr:nvSpPr>
      <xdr:spPr>
        <a:xfrm>
          <a:off x="7096125" y="11608045"/>
          <a:ext cx="3993173" cy="617660"/>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800000"/>
              </a:solidFill>
              <a:effectLst/>
            </a:rPr>
            <a:t>The cultivated area of each crop will significantly impact the overall net benefit of the project. For</a:t>
          </a:r>
          <a:r>
            <a:rPr lang="en-CA" sz="1100" b="1" baseline="0">
              <a:solidFill>
                <a:srgbClr val="800000"/>
              </a:solidFill>
              <a:effectLst/>
            </a:rPr>
            <a:t> different scenarios you can change the values or look at the scenarios tables on the right. </a:t>
          </a:r>
          <a:endParaRPr lang="en-CA" sz="1100" b="1">
            <a:solidFill>
              <a:srgbClr val="800000"/>
            </a:solidFill>
            <a:effectLst/>
          </a:endParaRPr>
        </a:p>
      </xdr:txBody>
    </xdr:sp>
    <xdr:clientData/>
  </xdr:twoCellAnchor>
  <xdr:twoCellAnchor>
    <xdr:from>
      <xdr:col>10</xdr:col>
      <xdr:colOff>171448</xdr:colOff>
      <xdr:row>42</xdr:row>
      <xdr:rowOff>180974</xdr:rowOff>
    </xdr:from>
    <xdr:to>
      <xdr:col>17</xdr:col>
      <xdr:colOff>152399</xdr:colOff>
      <xdr:row>46</xdr:row>
      <xdr:rowOff>57150</xdr:rowOff>
    </xdr:to>
    <xdr:sp macro="" textlink="">
      <xdr:nvSpPr>
        <xdr:cNvPr id="68" name="TextBox 67">
          <a:extLst>
            <a:ext uri="{FF2B5EF4-FFF2-40B4-BE49-F238E27FC236}">
              <a16:creationId xmlns:a16="http://schemas.microsoft.com/office/drawing/2014/main" id="{5F461831-6736-44FA-8338-111B0CB9FCF9}"/>
            </a:ext>
          </a:extLst>
        </xdr:cNvPr>
        <xdr:cNvSpPr txBox="1"/>
      </xdr:nvSpPr>
      <xdr:spPr>
        <a:xfrm>
          <a:off x="11591923" y="9877424"/>
          <a:ext cx="5257801" cy="609601"/>
        </a:xfrm>
        <a:prstGeom prst="rect">
          <a:avLst/>
        </a:prstGeom>
        <a:solidFill>
          <a:schemeClr val="lt1"/>
        </a:solidFill>
        <a:ln w="9525" cmpd="sng">
          <a:solidFill>
            <a:srgbClr val="002060"/>
          </a:solidFill>
        </a:ln>
        <a:effectLst>
          <a:glow rad="63500">
            <a:schemeClr val="accent1">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002060"/>
              </a:solidFill>
              <a:effectLst/>
            </a:rPr>
            <a:t>Weed cover percentage is difficult to estimate in advance. Lower weed cover results in greater herbicide savings when using an optical sprayer, while high weed cover leads to negligible savings. A starting estimate of 40% is reasonable.</a:t>
          </a:r>
        </a:p>
      </xdr:txBody>
    </xdr:sp>
    <xdr:clientData/>
  </xdr:twoCellAnchor>
  <xdr:twoCellAnchor>
    <xdr:from>
      <xdr:col>8</xdr:col>
      <xdr:colOff>876302</xdr:colOff>
      <xdr:row>44</xdr:row>
      <xdr:rowOff>171450</xdr:rowOff>
    </xdr:from>
    <xdr:to>
      <xdr:col>10</xdr:col>
      <xdr:colOff>171448</xdr:colOff>
      <xdr:row>46</xdr:row>
      <xdr:rowOff>80962</xdr:rowOff>
    </xdr:to>
    <xdr:cxnSp macro="">
      <xdr:nvCxnSpPr>
        <xdr:cNvPr id="69" name="Straight Arrow Connector 68">
          <a:extLst>
            <a:ext uri="{FF2B5EF4-FFF2-40B4-BE49-F238E27FC236}">
              <a16:creationId xmlns:a16="http://schemas.microsoft.com/office/drawing/2014/main" id="{1A435DDF-EC72-453C-B53B-2D802A772FDF}"/>
            </a:ext>
          </a:extLst>
        </xdr:cNvPr>
        <xdr:cNvCxnSpPr>
          <a:stCxn id="68" idx="1"/>
          <a:endCxn id="71" idx="3"/>
        </xdr:cNvCxnSpPr>
      </xdr:nvCxnSpPr>
      <xdr:spPr>
        <a:xfrm flipH="1">
          <a:off x="10534652" y="10182225"/>
          <a:ext cx="1057271" cy="328612"/>
        </a:xfrm>
        <a:prstGeom prst="straightConnector1">
          <a:avLst/>
        </a:prstGeom>
        <a:ln w="57150">
          <a:solidFill>
            <a:srgbClr val="00206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742951</xdr:colOff>
      <xdr:row>45</xdr:row>
      <xdr:rowOff>180975</xdr:rowOff>
    </xdr:from>
    <xdr:to>
      <xdr:col>8</xdr:col>
      <xdr:colOff>876302</xdr:colOff>
      <xdr:row>46</xdr:row>
      <xdr:rowOff>190499</xdr:rowOff>
    </xdr:to>
    <xdr:sp macro="" textlink="">
      <xdr:nvSpPr>
        <xdr:cNvPr id="71" name="Rectangle 70">
          <a:extLst>
            <a:ext uri="{FF2B5EF4-FFF2-40B4-BE49-F238E27FC236}">
              <a16:creationId xmlns:a16="http://schemas.microsoft.com/office/drawing/2014/main" id="{C0E93B2F-AB0D-49F5-9F03-B2E02058B3BF}"/>
            </a:ext>
          </a:extLst>
        </xdr:cNvPr>
        <xdr:cNvSpPr/>
      </xdr:nvSpPr>
      <xdr:spPr>
        <a:xfrm>
          <a:off x="1228726" y="10401300"/>
          <a:ext cx="9305926" cy="219074"/>
        </a:xfrm>
        <a:prstGeom prst="rect">
          <a:avLst/>
        </a:prstGeom>
        <a:no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742950</xdr:colOff>
      <xdr:row>47</xdr:row>
      <xdr:rowOff>19050</xdr:rowOff>
    </xdr:from>
    <xdr:to>
      <xdr:col>8</xdr:col>
      <xdr:colOff>876301</xdr:colOff>
      <xdr:row>48</xdr:row>
      <xdr:rowOff>209550</xdr:rowOff>
    </xdr:to>
    <xdr:sp macro="" textlink="">
      <xdr:nvSpPr>
        <xdr:cNvPr id="93" name="Rectangle 92">
          <a:extLst>
            <a:ext uri="{FF2B5EF4-FFF2-40B4-BE49-F238E27FC236}">
              <a16:creationId xmlns:a16="http://schemas.microsoft.com/office/drawing/2014/main" id="{59547551-35F5-41B6-90A0-CEC42A1CC928}"/>
            </a:ext>
          </a:extLst>
        </xdr:cNvPr>
        <xdr:cNvSpPr/>
      </xdr:nvSpPr>
      <xdr:spPr>
        <a:xfrm>
          <a:off x="1228725" y="10658475"/>
          <a:ext cx="9305926" cy="400050"/>
        </a:xfrm>
        <a:prstGeom prst="rect">
          <a:avLst/>
        </a:prstGeom>
        <a:no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10</xdr:col>
      <xdr:colOff>152398</xdr:colOff>
      <xdr:row>47</xdr:row>
      <xdr:rowOff>161925</xdr:rowOff>
    </xdr:from>
    <xdr:to>
      <xdr:col>16</xdr:col>
      <xdr:colOff>781049</xdr:colOff>
      <xdr:row>50</xdr:row>
      <xdr:rowOff>142875</xdr:rowOff>
    </xdr:to>
    <xdr:sp macro="" textlink="">
      <xdr:nvSpPr>
        <xdr:cNvPr id="95" name="TextBox 94">
          <a:extLst>
            <a:ext uri="{FF2B5EF4-FFF2-40B4-BE49-F238E27FC236}">
              <a16:creationId xmlns:a16="http://schemas.microsoft.com/office/drawing/2014/main" id="{CD890EE0-0A73-4CA4-8049-F6CDB42E5EC9}"/>
            </a:ext>
          </a:extLst>
        </xdr:cNvPr>
        <xdr:cNvSpPr txBox="1"/>
      </xdr:nvSpPr>
      <xdr:spPr>
        <a:xfrm>
          <a:off x="11572873" y="13134975"/>
          <a:ext cx="5067301" cy="628650"/>
        </a:xfrm>
        <a:prstGeom prst="rect">
          <a:avLst/>
        </a:prstGeom>
        <a:solidFill>
          <a:schemeClr val="lt1"/>
        </a:solidFill>
        <a:ln w="9525" cmpd="sng">
          <a:solidFill>
            <a:srgbClr val="7030A0"/>
          </a:solidFill>
        </a:ln>
        <a:effectLst>
          <a:glow rad="63500">
            <a:schemeClr val="accent5">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CA" sz="1100" b="1">
              <a:solidFill>
                <a:srgbClr val="7030A0"/>
              </a:solidFill>
              <a:effectLst/>
              <a:latin typeface="+mn-lt"/>
              <a:ea typeface="+mn-ea"/>
              <a:cs typeface="+mn-cs"/>
            </a:rPr>
            <a:t>In this section, enter the number of herbicide applications and the application rate per hectare for both the conventional and optical sprayers. For the optical sprayer, enter the rate equivalent to a broadcast spray over the entire field area.</a:t>
          </a:r>
        </a:p>
      </xdr:txBody>
    </xdr:sp>
    <xdr:clientData/>
  </xdr:twoCellAnchor>
  <xdr:twoCellAnchor>
    <xdr:from>
      <xdr:col>8</xdr:col>
      <xdr:colOff>876301</xdr:colOff>
      <xdr:row>48</xdr:row>
      <xdr:rowOff>9525</xdr:rowOff>
    </xdr:from>
    <xdr:to>
      <xdr:col>10</xdr:col>
      <xdr:colOff>152398</xdr:colOff>
      <xdr:row>49</xdr:row>
      <xdr:rowOff>47625</xdr:rowOff>
    </xdr:to>
    <xdr:cxnSp macro="">
      <xdr:nvCxnSpPr>
        <xdr:cNvPr id="96" name="Straight Arrow Connector 95">
          <a:extLst>
            <a:ext uri="{FF2B5EF4-FFF2-40B4-BE49-F238E27FC236}">
              <a16:creationId xmlns:a16="http://schemas.microsoft.com/office/drawing/2014/main" id="{DA59B9D5-8EA1-4386-921C-D79B9046C18A}"/>
            </a:ext>
          </a:extLst>
        </xdr:cNvPr>
        <xdr:cNvCxnSpPr>
          <a:stCxn id="95" idx="1"/>
          <a:endCxn id="93" idx="3"/>
        </xdr:cNvCxnSpPr>
      </xdr:nvCxnSpPr>
      <xdr:spPr>
        <a:xfrm flipH="1" flipV="1">
          <a:off x="10534651" y="13192125"/>
          <a:ext cx="1038222" cy="257175"/>
        </a:xfrm>
        <a:prstGeom prst="straightConnector1">
          <a:avLst/>
        </a:prstGeom>
        <a:ln w="57150">
          <a:solidFill>
            <a:srgbClr val="7030A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419100</xdr:colOff>
      <xdr:row>57</xdr:row>
      <xdr:rowOff>104774</xdr:rowOff>
    </xdr:from>
    <xdr:to>
      <xdr:col>6</xdr:col>
      <xdr:colOff>85725</xdr:colOff>
      <xdr:row>69</xdr:row>
      <xdr:rowOff>47625</xdr:rowOff>
    </xdr:to>
    <xdr:sp macro="" textlink="">
      <xdr:nvSpPr>
        <xdr:cNvPr id="107" name="Rectangle 106">
          <a:extLst>
            <a:ext uri="{FF2B5EF4-FFF2-40B4-BE49-F238E27FC236}">
              <a16:creationId xmlns:a16="http://schemas.microsoft.com/office/drawing/2014/main" id="{CAAC5BA5-907E-4957-9561-028846E7700B}"/>
            </a:ext>
          </a:extLst>
        </xdr:cNvPr>
        <xdr:cNvSpPr/>
      </xdr:nvSpPr>
      <xdr:spPr>
        <a:xfrm>
          <a:off x="419100" y="12734924"/>
          <a:ext cx="7477125" cy="2762251"/>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6</xdr:col>
      <xdr:colOff>85725</xdr:colOff>
      <xdr:row>62</xdr:row>
      <xdr:rowOff>171451</xdr:rowOff>
    </xdr:from>
    <xdr:to>
      <xdr:col>7</xdr:col>
      <xdr:colOff>771525</xdr:colOff>
      <xdr:row>62</xdr:row>
      <xdr:rowOff>200025</xdr:rowOff>
    </xdr:to>
    <xdr:cxnSp macro="">
      <xdr:nvCxnSpPr>
        <xdr:cNvPr id="109" name="Straight Arrow Connector 108">
          <a:extLst>
            <a:ext uri="{FF2B5EF4-FFF2-40B4-BE49-F238E27FC236}">
              <a16:creationId xmlns:a16="http://schemas.microsoft.com/office/drawing/2014/main" id="{8B722727-4897-4190-A16D-0D85DD090976}"/>
            </a:ext>
          </a:extLst>
        </xdr:cNvPr>
        <xdr:cNvCxnSpPr>
          <a:cxnSpLocks/>
          <a:stCxn id="114" idx="1"/>
          <a:endCxn id="107" idx="3"/>
        </xdr:cNvCxnSpPr>
      </xdr:nvCxnSpPr>
      <xdr:spPr>
        <a:xfrm flipH="1">
          <a:off x="7896225" y="16573501"/>
          <a:ext cx="1609725" cy="28574"/>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771525</xdr:colOff>
      <xdr:row>61</xdr:row>
      <xdr:rowOff>66676</xdr:rowOff>
    </xdr:from>
    <xdr:to>
      <xdr:col>12</xdr:col>
      <xdr:colOff>485775</xdr:colOff>
      <xdr:row>64</xdr:row>
      <xdr:rowOff>57151</xdr:rowOff>
    </xdr:to>
    <xdr:sp macro="" textlink="">
      <xdr:nvSpPr>
        <xdr:cNvPr id="114" name="TextBox 113">
          <a:extLst>
            <a:ext uri="{FF2B5EF4-FFF2-40B4-BE49-F238E27FC236}">
              <a16:creationId xmlns:a16="http://schemas.microsoft.com/office/drawing/2014/main" id="{860AA0EF-3B4C-44BC-B4F3-9C06200E61F2}"/>
            </a:ext>
          </a:extLst>
        </xdr:cNvPr>
        <xdr:cNvSpPr txBox="1"/>
      </xdr:nvSpPr>
      <xdr:spPr>
        <a:xfrm>
          <a:off x="9505950" y="16249651"/>
          <a:ext cx="3838575" cy="647700"/>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chemeClr val="accent3"/>
              </a:solidFill>
              <a:effectLst/>
            </a:rPr>
            <a:t>For each herbicide, this table compares the volume of chemicals used and the tractor hours required for application when using a conventional sprayer versus an optical sprayer.</a:t>
          </a:r>
        </a:p>
      </xdr:txBody>
    </xdr:sp>
    <xdr:clientData/>
  </xdr:twoCellAnchor>
  <xdr:twoCellAnchor>
    <xdr:from>
      <xdr:col>0</xdr:col>
      <xdr:colOff>409575</xdr:colOff>
      <xdr:row>69</xdr:row>
      <xdr:rowOff>171450</xdr:rowOff>
    </xdr:from>
    <xdr:to>
      <xdr:col>7</xdr:col>
      <xdr:colOff>66675</xdr:colOff>
      <xdr:row>81</xdr:row>
      <xdr:rowOff>57150</xdr:rowOff>
    </xdr:to>
    <xdr:sp macro="" textlink="">
      <xdr:nvSpPr>
        <xdr:cNvPr id="120" name="Rectangle 119">
          <a:extLst>
            <a:ext uri="{FF2B5EF4-FFF2-40B4-BE49-F238E27FC236}">
              <a16:creationId xmlns:a16="http://schemas.microsoft.com/office/drawing/2014/main" id="{5A4186B8-BBE2-4C12-93E5-18B1DB5CB472}"/>
            </a:ext>
          </a:extLst>
        </xdr:cNvPr>
        <xdr:cNvSpPr/>
      </xdr:nvSpPr>
      <xdr:spPr>
        <a:xfrm>
          <a:off x="409575" y="15621000"/>
          <a:ext cx="8391525" cy="2324100"/>
        </a:xfrm>
        <a:prstGeom prst="rect">
          <a:avLst/>
        </a:prstGeom>
        <a:no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7</xdr:col>
      <xdr:colOff>66675</xdr:colOff>
      <xdr:row>74</xdr:row>
      <xdr:rowOff>189401</xdr:rowOff>
    </xdr:from>
    <xdr:to>
      <xdr:col>7</xdr:col>
      <xdr:colOff>704849</xdr:colOff>
      <xdr:row>75</xdr:row>
      <xdr:rowOff>9525</xdr:rowOff>
    </xdr:to>
    <xdr:cxnSp macro="">
      <xdr:nvCxnSpPr>
        <xdr:cNvPr id="121" name="Straight Arrow Connector 120">
          <a:extLst>
            <a:ext uri="{FF2B5EF4-FFF2-40B4-BE49-F238E27FC236}">
              <a16:creationId xmlns:a16="http://schemas.microsoft.com/office/drawing/2014/main" id="{D7F9F5F8-FA08-4636-919B-D151E3CE8906}"/>
            </a:ext>
          </a:extLst>
        </xdr:cNvPr>
        <xdr:cNvCxnSpPr>
          <a:stCxn id="124" idx="1"/>
          <a:endCxn id="120" idx="3"/>
        </xdr:cNvCxnSpPr>
      </xdr:nvCxnSpPr>
      <xdr:spPr>
        <a:xfrm flipH="1">
          <a:off x="8801100" y="19258451"/>
          <a:ext cx="638174" cy="10624"/>
        </a:xfrm>
        <a:prstGeom prst="straightConnector1">
          <a:avLst/>
        </a:prstGeom>
        <a:ln w="57150">
          <a:solidFill>
            <a:srgbClr val="7030A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704849</xdr:colOff>
      <xdr:row>73</xdr:row>
      <xdr:rowOff>121627</xdr:rowOff>
    </xdr:from>
    <xdr:to>
      <xdr:col>13</xdr:col>
      <xdr:colOff>85724</xdr:colOff>
      <xdr:row>76</xdr:row>
      <xdr:rowOff>66675</xdr:rowOff>
    </xdr:to>
    <xdr:sp macro="" textlink="">
      <xdr:nvSpPr>
        <xdr:cNvPr id="124" name="TextBox 123">
          <a:extLst>
            <a:ext uri="{FF2B5EF4-FFF2-40B4-BE49-F238E27FC236}">
              <a16:creationId xmlns:a16="http://schemas.microsoft.com/office/drawing/2014/main" id="{3A9441F9-F8CB-4363-B4BE-8BD5810426BA}"/>
            </a:ext>
          </a:extLst>
        </xdr:cNvPr>
        <xdr:cNvSpPr txBox="1"/>
      </xdr:nvSpPr>
      <xdr:spPr>
        <a:xfrm>
          <a:off x="9439274" y="19009702"/>
          <a:ext cx="4105275" cy="497498"/>
        </a:xfrm>
        <a:prstGeom prst="rect">
          <a:avLst/>
        </a:prstGeom>
        <a:solidFill>
          <a:schemeClr val="lt1"/>
        </a:solidFill>
        <a:ln w="9525" cmpd="sng">
          <a:solidFill>
            <a:srgbClr val="7030A0"/>
          </a:solidFill>
        </a:ln>
        <a:effectLst>
          <a:glow rad="63500">
            <a:schemeClr val="accent5">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CA" sz="1100" b="1" baseline="0">
              <a:solidFill>
                <a:srgbClr val="7030A0"/>
              </a:solidFill>
              <a:effectLst/>
              <a:latin typeface="+mn-lt"/>
              <a:ea typeface="+mn-ea"/>
              <a:cs typeface="+mn-cs"/>
            </a:rPr>
            <a:t>This section presents a comparison of the total application cost per herbicide product.</a:t>
          </a:r>
          <a:endParaRPr lang="en-CA" sz="1100" b="1">
            <a:solidFill>
              <a:srgbClr val="7030A0"/>
            </a:solidFill>
            <a:effectLst/>
            <a:latin typeface="+mn-lt"/>
            <a:ea typeface="+mn-ea"/>
            <a:cs typeface="+mn-cs"/>
          </a:endParaRPr>
        </a:p>
      </xdr:txBody>
    </xdr:sp>
    <xdr:clientData/>
  </xdr:twoCellAnchor>
  <xdr:twoCellAnchor>
    <xdr:from>
      <xdr:col>0</xdr:col>
      <xdr:colOff>390525</xdr:colOff>
      <xdr:row>81</xdr:row>
      <xdr:rowOff>171450</xdr:rowOff>
    </xdr:from>
    <xdr:to>
      <xdr:col>8</xdr:col>
      <xdr:colOff>76200</xdr:colOff>
      <xdr:row>86</xdr:row>
      <xdr:rowOff>95250</xdr:rowOff>
    </xdr:to>
    <xdr:sp macro="" textlink="">
      <xdr:nvSpPr>
        <xdr:cNvPr id="130" name="Rectangle 129">
          <a:extLst>
            <a:ext uri="{FF2B5EF4-FFF2-40B4-BE49-F238E27FC236}">
              <a16:creationId xmlns:a16="http://schemas.microsoft.com/office/drawing/2014/main" id="{F3FF6FDD-2DFA-4916-AA16-2398F5FF37A0}"/>
            </a:ext>
          </a:extLst>
        </xdr:cNvPr>
        <xdr:cNvSpPr/>
      </xdr:nvSpPr>
      <xdr:spPr>
        <a:xfrm>
          <a:off x="390525" y="18059400"/>
          <a:ext cx="9344025" cy="14763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8</xdr:col>
      <xdr:colOff>76200</xdr:colOff>
      <xdr:row>84</xdr:row>
      <xdr:rowOff>80963</xdr:rowOff>
    </xdr:from>
    <xdr:to>
      <xdr:col>8</xdr:col>
      <xdr:colOff>733425</xdr:colOff>
      <xdr:row>84</xdr:row>
      <xdr:rowOff>185738</xdr:rowOff>
    </xdr:to>
    <xdr:cxnSp macro="">
      <xdr:nvCxnSpPr>
        <xdr:cNvPr id="131" name="Straight Arrow Connector 130">
          <a:extLst>
            <a:ext uri="{FF2B5EF4-FFF2-40B4-BE49-F238E27FC236}">
              <a16:creationId xmlns:a16="http://schemas.microsoft.com/office/drawing/2014/main" id="{D7A8331A-9165-4B0B-A939-04CACC8E093C}"/>
            </a:ext>
          </a:extLst>
        </xdr:cNvPr>
        <xdr:cNvCxnSpPr>
          <a:stCxn id="133" idx="1"/>
          <a:endCxn id="130" idx="3"/>
        </xdr:cNvCxnSpPr>
      </xdr:nvCxnSpPr>
      <xdr:spPr>
        <a:xfrm flipH="1" flipV="1">
          <a:off x="9734550" y="18797588"/>
          <a:ext cx="657225" cy="104775"/>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733425</xdr:colOff>
      <xdr:row>83</xdr:row>
      <xdr:rowOff>238125</xdr:rowOff>
    </xdr:from>
    <xdr:to>
      <xdr:col>14</xdr:col>
      <xdr:colOff>19050</xdr:colOff>
      <xdr:row>85</xdr:row>
      <xdr:rowOff>133350</xdr:rowOff>
    </xdr:to>
    <xdr:sp macro="" textlink="">
      <xdr:nvSpPr>
        <xdr:cNvPr id="133" name="TextBox 132">
          <a:extLst>
            <a:ext uri="{FF2B5EF4-FFF2-40B4-BE49-F238E27FC236}">
              <a16:creationId xmlns:a16="http://schemas.microsoft.com/office/drawing/2014/main" id="{52C2BEC0-CA1D-4B79-9180-20FB7AD9C2A3}"/>
            </a:ext>
          </a:extLst>
        </xdr:cNvPr>
        <xdr:cNvSpPr txBox="1"/>
      </xdr:nvSpPr>
      <xdr:spPr>
        <a:xfrm>
          <a:off x="10391775" y="18592800"/>
          <a:ext cx="3752850" cy="619125"/>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800000"/>
              </a:solidFill>
              <a:effectLst/>
            </a:rPr>
            <a:t>All chemical and tractor hour costs are summarized here to enable a comparison between conventional broadcast applications and optical sprayer applications.</a:t>
          </a:r>
        </a:p>
      </xdr:txBody>
    </xdr:sp>
    <xdr:clientData/>
  </xdr:twoCellAnchor>
  <xdr:twoCellAnchor>
    <xdr:from>
      <xdr:col>0</xdr:col>
      <xdr:colOff>419101</xdr:colOff>
      <xdr:row>86</xdr:row>
      <xdr:rowOff>276225</xdr:rowOff>
    </xdr:from>
    <xdr:to>
      <xdr:col>8</xdr:col>
      <xdr:colOff>114301</xdr:colOff>
      <xdr:row>90</xdr:row>
      <xdr:rowOff>133350</xdr:rowOff>
    </xdr:to>
    <xdr:sp macro="" textlink="">
      <xdr:nvSpPr>
        <xdr:cNvPr id="142" name="Rectangle 141">
          <a:extLst>
            <a:ext uri="{FF2B5EF4-FFF2-40B4-BE49-F238E27FC236}">
              <a16:creationId xmlns:a16="http://schemas.microsoft.com/office/drawing/2014/main" id="{A6F1CC7E-163F-47CF-9797-2CE6749D8C97}"/>
            </a:ext>
          </a:extLst>
        </xdr:cNvPr>
        <xdr:cNvSpPr/>
      </xdr:nvSpPr>
      <xdr:spPr>
        <a:xfrm>
          <a:off x="419101" y="19716750"/>
          <a:ext cx="9353550" cy="1276350"/>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8</xdr:col>
      <xdr:colOff>114301</xdr:colOff>
      <xdr:row>88</xdr:row>
      <xdr:rowOff>164490</xdr:rowOff>
    </xdr:from>
    <xdr:to>
      <xdr:col>8</xdr:col>
      <xdr:colOff>743683</xdr:colOff>
      <xdr:row>88</xdr:row>
      <xdr:rowOff>314691</xdr:rowOff>
    </xdr:to>
    <xdr:cxnSp macro="">
      <xdr:nvCxnSpPr>
        <xdr:cNvPr id="145" name="Straight Arrow Connector 144">
          <a:extLst>
            <a:ext uri="{FF2B5EF4-FFF2-40B4-BE49-F238E27FC236}">
              <a16:creationId xmlns:a16="http://schemas.microsoft.com/office/drawing/2014/main" id="{4B66954B-14FA-4B94-964D-C4FCF3CB2A69}"/>
            </a:ext>
          </a:extLst>
        </xdr:cNvPr>
        <xdr:cNvCxnSpPr>
          <a:cxnSpLocks/>
          <a:stCxn id="146" idx="1"/>
          <a:endCxn id="142" idx="3"/>
        </xdr:cNvCxnSpPr>
      </xdr:nvCxnSpPr>
      <xdr:spPr>
        <a:xfrm flipH="1">
          <a:off x="9771186" y="20540663"/>
          <a:ext cx="629382" cy="150201"/>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743683</xdr:colOff>
      <xdr:row>87</xdr:row>
      <xdr:rowOff>137746</xdr:rowOff>
    </xdr:from>
    <xdr:to>
      <xdr:col>13</xdr:col>
      <xdr:colOff>267433</xdr:colOff>
      <xdr:row>89</xdr:row>
      <xdr:rowOff>30040</xdr:rowOff>
    </xdr:to>
    <xdr:sp macro="" textlink="">
      <xdr:nvSpPr>
        <xdr:cNvPr id="146" name="TextBox 145">
          <a:extLst>
            <a:ext uri="{FF2B5EF4-FFF2-40B4-BE49-F238E27FC236}">
              <a16:creationId xmlns:a16="http://schemas.microsoft.com/office/drawing/2014/main" id="{CE45F552-AE13-438E-99D6-D88891401A31}"/>
            </a:ext>
          </a:extLst>
        </xdr:cNvPr>
        <xdr:cNvSpPr txBox="1"/>
      </xdr:nvSpPr>
      <xdr:spPr>
        <a:xfrm>
          <a:off x="10400568" y="20272131"/>
          <a:ext cx="3319096" cy="537063"/>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chemeClr val="accent3"/>
              </a:solidFill>
              <a:effectLst/>
            </a:rPr>
            <a:t>Comparison of hand weeding costs between the two sprayer options.</a:t>
          </a:r>
        </a:p>
      </xdr:txBody>
    </xdr:sp>
    <xdr:clientData/>
  </xdr:twoCellAnchor>
  <xdr:twoCellAnchor>
    <xdr:from>
      <xdr:col>1</xdr:col>
      <xdr:colOff>714375</xdr:colOff>
      <xdr:row>92</xdr:row>
      <xdr:rowOff>0</xdr:rowOff>
    </xdr:from>
    <xdr:to>
      <xdr:col>5</xdr:col>
      <xdr:colOff>47625</xdr:colOff>
      <xdr:row>92</xdr:row>
      <xdr:rowOff>200025</xdr:rowOff>
    </xdr:to>
    <xdr:sp macro="" textlink="">
      <xdr:nvSpPr>
        <xdr:cNvPr id="153" name="Rectangle 152">
          <a:extLst>
            <a:ext uri="{FF2B5EF4-FFF2-40B4-BE49-F238E27FC236}">
              <a16:creationId xmlns:a16="http://schemas.microsoft.com/office/drawing/2014/main" id="{00E69588-845E-48DA-940E-DBD7F1FD5DAC}"/>
            </a:ext>
          </a:extLst>
        </xdr:cNvPr>
        <xdr:cNvSpPr/>
      </xdr:nvSpPr>
      <xdr:spPr>
        <a:xfrm>
          <a:off x="1200150" y="21497925"/>
          <a:ext cx="5734050" cy="2000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8</xdr:col>
      <xdr:colOff>714375</xdr:colOff>
      <xdr:row>89</xdr:row>
      <xdr:rowOff>381001</xdr:rowOff>
    </xdr:from>
    <xdr:to>
      <xdr:col>16</xdr:col>
      <xdr:colOff>495300</xdr:colOff>
      <xdr:row>90</xdr:row>
      <xdr:rowOff>247651</xdr:rowOff>
    </xdr:to>
    <xdr:sp macro="" textlink="">
      <xdr:nvSpPr>
        <xdr:cNvPr id="154" name="TextBox 153">
          <a:extLst>
            <a:ext uri="{FF2B5EF4-FFF2-40B4-BE49-F238E27FC236}">
              <a16:creationId xmlns:a16="http://schemas.microsoft.com/office/drawing/2014/main" id="{EEC789F7-B925-4AF9-B6F8-A99A101DC893}"/>
            </a:ext>
          </a:extLst>
        </xdr:cNvPr>
        <xdr:cNvSpPr txBox="1"/>
      </xdr:nvSpPr>
      <xdr:spPr>
        <a:xfrm>
          <a:off x="10372725" y="23307676"/>
          <a:ext cx="5981700" cy="285750"/>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800000"/>
              </a:solidFill>
              <a:effectLst/>
            </a:rPr>
            <a:t>Sales revenue is calculated by multiplying the total production volume by the crop's sale price.</a:t>
          </a:r>
        </a:p>
      </xdr:txBody>
    </xdr:sp>
    <xdr:clientData/>
  </xdr:twoCellAnchor>
  <xdr:twoCellAnchor>
    <xdr:from>
      <xdr:col>5</xdr:col>
      <xdr:colOff>47625</xdr:colOff>
      <xdr:row>90</xdr:row>
      <xdr:rowOff>104776</xdr:rowOff>
    </xdr:from>
    <xdr:to>
      <xdr:col>8</xdr:col>
      <xdr:colOff>714375</xdr:colOff>
      <xdr:row>92</xdr:row>
      <xdr:rowOff>100013</xdr:rowOff>
    </xdr:to>
    <xdr:cxnSp macro="">
      <xdr:nvCxnSpPr>
        <xdr:cNvPr id="155" name="Straight Arrow Connector 154">
          <a:extLst>
            <a:ext uri="{FF2B5EF4-FFF2-40B4-BE49-F238E27FC236}">
              <a16:creationId xmlns:a16="http://schemas.microsoft.com/office/drawing/2014/main" id="{CE38B0DE-2068-4AA5-B3FF-9B420D3D39F9}"/>
            </a:ext>
          </a:extLst>
        </xdr:cNvPr>
        <xdr:cNvCxnSpPr>
          <a:stCxn id="154" idx="1"/>
          <a:endCxn id="153" idx="3"/>
        </xdr:cNvCxnSpPr>
      </xdr:nvCxnSpPr>
      <xdr:spPr>
        <a:xfrm flipH="1">
          <a:off x="6934200" y="23450551"/>
          <a:ext cx="3438525" cy="633412"/>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714374</xdr:colOff>
      <xdr:row>91</xdr:row>
      <xdr:rowOff>114300</xdr:rowOff>
    </xdr:from>
    <xdr:to>
      <xdr:col>16</xdr:col>
      <xdr:colOff>504824</xdr:colOff>
      <xdr:row>92</xdr:row>
      <xdr:rowOff>152400</xdr:rowOff>
    </xdr:to>
    <xdr:sp macro="" textlink="">
      <xdr:nvSpPr>
        <xdr:cNvPr id="164" name="TextBox 163">
          <a:extLst>
            <a:ext uri="{FF2B5EF4-FFF2-40B4-BE49-F238E27FC236}">
              <a16:creationId xmlns:a16="http://schemas.microsoft.com/office/drawing/2014/main" id="{CC6A5CF4-7C1F-40DE-B381-9E50EB3139CE}"/>
            </a:ext>
          </a:extLst>
        </xdr:cNvPr>
        <xdr:cNvSpPr txBox="1"/>
      </xdr:nvSpPr>
      <xdr:spPr>
        <a:xfrm>
          <a:off x="10372724" y="21393150"/>
          <a:ext cx="5991225" cy="257175"/>
        </a:xfrm>
        <a:prstGeom prst="rect">
          <a:avLst/>
        </a:prstGeom>
        <a:solidFill>
          <a:schemeClr val="lt1"/>
        </a:solidFill>
        <a:ln w="9525" cmpd="sng">
          <a:solidFill>
            <a:srgbClr val="FFC000"/>
          </a:solid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FFC000"/>
              </a:solidFill>
              <a:effectLst/>
            </a:rPr>
            <a:t>Total costs involved in bringing the product to market,</a:t>
          </a:r>
          <a:r>
            <a:rPr lang="en-CA" sz="1100" b="1" baseline="0">
              <a:solidFill>
                <a:srgbClr val="FFC000"/>
              </a:solidFill>
              <a:effectLst/>
            </a:rPr>
            <a:t> </a:t>
          </a:r>
          <a:r>
            <a:rPr lang="en-CA" sz="1100" b="1">
              <a:solidFill>
                <a:srgbClr val="FFC000"/>
              </a:solidFill>
              <a:effectLst/>
            </a:rPr>
            <a:t>from harvest to sale,</a:t>
          </a:r>
          <a:r>
            <a:rPr lang="en-CA" sz="1100" b="1" baseline="0">
              <a:solidFill>
                <a:srgbClr val="FFC000"/>
              </a:solidFill>
              <a:effectLst/>
            </a:rPr>
            <a:t> </a:t>
          </a:r>
          <a:r>
            <a:rPr lang="en-CA" sz="1100" b="1">
              <a:solidFill>
                <a:srgbClr val="FFC000"/>
              </a:solidFill>
              <a:effectLst/>
            </a:rPr>
            <a:t>are summarized here.</a:t>
          </a:r>
        </a:p>
      </xdr:txBody>
    </xdr:sp>
    <xdr:clientData/>
  </xdr:twoCellAnchor>
  <xdr:twoCellAnchor>
    <xdr:from>
      <xdr:col>5</xdr:col>
      <xdr:colOff>38100</xdr:colOff>
      <xdr:row>92</xdr:row>
      <xdr:rowOff>23446</xdr:rowOff>
    </xdr:from>
    <xdr:to>
      <xdr:col>8</xdr:col>
      <xdr:colOff>714374</xdr:colOff>
      <xdr:row>93</xdr:row>
      <xdr:rowOff>125657</xdr:rowOff>
    </xdr:to>
    <xdr:cxnSp macro="">
      <xdr:nvCxnSpPr>
        <xdr:cNvPr id="165" name="Straight Arrow Connector 164">
          <a:extLst>
            <a:ext uri="{FF2B5EF4-FFF2-40B4-BE49-F238E27FC236}">
              <a16:creationId xmlns:a16="http://schemas.microsoft.com/office/drawing/2014/main" id="{0FB8307C-8FC1-4016-97A6-2E956413F606}"/>
            </a:ext>
          </a:extLst>
        </xdr:cNvPr>
        <xdr:cNvCxnSpPr>
          <a:cxnSpLocks/>
          <a:stCxn id="164" idx="1"/>
          <a:endCxn id="168" idx="3"/>
        </xdr:cNvCxnSpPr>
      </xdr:nvCxnSpPr>
      <xdr:spPr>
        <a:xfrm flipH="1">
          <a:off x="6925408" y="21857677"/>
          <a:ext cx="3445851" cy="314692"/>
        </a:xfrm>
        <a:prstGeom prst="straightConnector1">
          <a:avLst/>
        </a:prstGeom>
        <a:ln w="57150">
          <a:solidFill>
            <a:srgbClr val="FFC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714375</xdr:colOff>
      <xdr:row>93</xdr:row>
      <xdr:rowOff>21981</xdr:rowOff>
    </xdr:from>
    <xdr:to>
      <xdr:col>5</xdr:col>
      <xdr:colOff>38100</xdr:colOff>
      <xdr:row>94</xdr:row>
      <xdr:rowOff>9526</xdr:rowOff>
    </xdr:to>
    <xdr:sp macro="" textlink="">
      <xdr:nvSpPr>
        <xdr:cNvPr id="168" name="Rectangle 167">
          <a:extLst>
            <a:ext uri="{FF2B5EF4-FFF2-40B4-BE49-F238E27FC236}">
              <a16:creationId xmlns:a16="http://schemas.microsoft.com/office/drawing/2014/main" id="{5D332700-9A66-43E8-AE5A-1B2ECC7C3075}"/>
            </a:ext>
          </a:extLst>
        </xdr:cNvPr>
        <xdr:cNvSpPr/>
      </xdr:nvSpPr>
      <xdr:spPr>
        <a:xfrm>
          <a:off x="1197952" y="22068693"/>
          <a:ext cx="5727456" cy="207352"/>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solidFill>
              <a:srgbClr val="FFFF00"/>
            </a:solidFill>
          </a:endParaRPr>
        </a:p>
      </xdr:txBody>
    </xdr:sp>
    <xdr:clientData/>
  </xdr:twoCellAnchor>
  <xdr:twoCellAnchor>
    <xdr:from>
      <xdr:col>1</xdr:col>
      <xdr:colOff>714374</xdr:colOff>
      <xdr:row>94</xdr:row>
      <xdr:rowOff>47625</xdr:rowOff>
    </xdr:from>
    <xdr:to>
      <xdr:col>5</xdr:col>
      <xdr:colOff>38099</xdr:colOff>
      <xdr:row>95</xdr:row>
      <xdr:rowOff>28575</xdr:rowOff>
    </xdr:to>
    <xdr:sp macro="" textlink="">
      <xdr:nvSpPr>
        <xdr:cNvPr id="171" name="Rectangle 170">
          <a:extLst>
            <a:ext uri="{FF2B5EF4-FFF2-40B4-BE49-F238E27FC236}">
              <a16:creationId xmlns:a16="http://schemas.microsoft.com/office/drawing/2014/main" id="{BBE68904-278D-4329-BCE5-D535D5D113CE}"/>
            </a:ext>
          </a:extLst>
        </xdr:cNvPr>
        <xdr:cNvSpPr/>
      </xdr:nvSpPr>
      <xdr:spPr>
        <a:xfrm>
          <a:off x="1200149" y="24460200"/>
          <a:ext cx="5772150" cy="419100"/>
        </a:xfrm>
        <a:prstGeom prst="rect">
          <a:avLst/>
        </a:prstGeom>
        <a:no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8</xdr:col>
      <xdr:colOff>714375</xdr:colOff>
      <xdr:row>94</xdr:row>
      <xdr:rowOff>85725</xdr:rowOff>
    </xdr:from>
    <xdr:to>
      <xdr:col>16</xdr:col>
      <xdr:colOff>533400</xdr:colOff>
      <xdr:row>95</xdr:row>
      <xdr:rowOff>85725</xdr:rowOff>
    </xdr:to>
    <xdr:sp macro="" textlink="">
      <xdr:nvSpPr>
        <xdr:cNvPr id="172" name="TextBox 171">
          <a:extLst>
            <a:ext uri="{FF2B5EF4-FFF2-40B4-BE49-F238E27FC236}">
              <a16:creationId xmlns:a16="http://schemas.microsoft.com/office/drawing/2014/main" id="{1FCA3E70-AFC0-4D00-A8F6-EFD594D9BC67}"/>
            </a:ext>
          </a:extLst>
        </xdr:cNvPr>
        <xdr:cNvSpPr txBox="1"/>
      </xdr:nvSpPr>
      <xdr:spPr>
        <a:xfrm>
          <a:off x="10372725" y="22012275"/>
          <a:ext cx="6019800" cy="438150"/>
        </a:xfrm>
        <a:prstGeom prst="rect">
          <a:avLst/>
        </a:prstGeom>
        <a:solidFill>
          <a:schemeClr val="lt1"/>
        </a:solidFill>
        <a:ln w="9525" cmpd="sng">
          <a:solidFill>
            <a:srgbClr val="7030A0"/>
          </a:solidFill>
        </a:ln>
        <a:effectLst>
          <a:glow rad="63500">
            <a:schemeClr val="accent5">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CA" sz="1100" b="1" baseline="0">
              <a:solidFill>
                <a:srgbClr val="7030A0"/>
              </a:solidFill>
              <a:effectLst/>
              <a:latin typeface="+mn-lt"/>
              <a:ea typeface="+mn-ea"/>
              <a:cs typeface="+mn-cs"/>
            </a:rPr>
            <a:t>Net sales revenue is calculated to measure the additional "pocket dollars" generated from higher yields.</a:t>
          </a:r>
          <a:endParaRPr lang="en-CA" sz="1100" b="1">
            <a:solidFill>
              <a:srgbClr val="7030A0"/>
            </a:solidFill>
            <a:effectLst/>
            <a:latin typeface="+mn-lt"/>
            <a:ea typeface="+mn-ea"/>
            <a:cs typeface="+mn-cs"/>
          </a:endParaRPr>
        </a:p>
      </xdr:txBody>
    </xdr:sp>
    <xdr:clientData/>
  </xdr:twoCellAnchor>
  <xdr:twoCellAnchor>
    <xdr:from>
      <xdr:col>5</xdr:col>
      <xdr:colOff>38099</xdr:colOff>
      <xdr:row>94</xdr:row>
      <xdr:rowOff>257175</xdr:rowOff>
    </xdr:from>
    <xdr:to>
      <xdr:col>8</xdr:col>
      <xdr:colOff>714375</xdr:colOff>
      <xdr:row>94</xdr:row>
      <xdr:rowOff>304800</xdr:rowOff>
    </xdr:to>
    <xdr:cxnSp macro="">
      <xdr:nvCxnSpPr>
        <xdr:cNvPr id="173" name="Straight Arrow Connector 172">
          <a:extLst>
            <a:ext uri="{FF2B5EF4-FFF2-40B4-BE49-F238E27FC236}">
              <a16:creationId xmlns:a16="http://schemas.microsoft.com/office/drawing/2014/main" id="{8B90D776-616D-430C-81F8-1542A360027F}"/>
            </a:ext>
          </a:extLst>
        </xdr:cNvPr>
        <xdr:cNvCxnSpPr>
          <a:stCxn id="172" idx="1"/>
          <a:endCxn id="171" idx="3"/>
        </xdr:cNvCxnSpPr>
      </xdr:nvCxnSpPr>
      <xdr:spPr>
        <a:xfrm flipH="1" flipV="1">
          <a:off x="6972299" y="24669750"/>
          <a:ext cx="3448051" cy="47625"/>
        </a:xfrm>
        <a:prstGeom prst="straightConnector1">
          <a:avLst/>
        </a:prstGeom>
        <a:ln w="57150">
          <a:solidFill>
            <a:srgbClr val="7030A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419101</xdr:colOff>
      <xdr:row>49</xdr:row>
      <xdr:rowOff>171451</xdr:rowOff>
    </xdr:from>
    <xdr:to>
      <xdr:col>7</xdr:col>
      <xdr:colOff>47625</xdr:colOff>
      <xdr:row>57</xdr:row>
      <xdr:rowOff>47625</xdr:rowOff>
    </xdr:to>
    <xdr:sp macro="" textlink="">
      <xdr:nvSpPr>
        <xdr:cNvPr id="181" name="Rectangle 180">
          <a:extLst>
            <a:ext uri="{FF2B5EF4-FFF2-40B4-BE49-F238E27FC236}">
              <a16:creationId xmlns:a16="http://schemas.microsoft.com/office/drawing/2014/main" id="{C50877FF-62CD-4D95-A2F4-75125FCFD2E6}"/>
            </a:ext>
          </a:extLst>
        </xdr:cNvPr>
        <xdr:cNvSpPr/>
      </xdr:nvSpPr>
      <xdr:spPr>
        <a:xfrm>
          <a:off x="419101" y="11239501"/>
          <a:ext cx="8362949" cy="1438274"/>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solidFill>
              <a:srgbClr val="FFFF00"/>
            </a:solidFill>
          </a:endParaRPr>
        </a:p>
      </xdr:txBody>
    </xdr:sp>
    <xdr:clientData/>
  </xdr:twoCellAnchor>
  <xdr:twoCellAnchor>
    <xdr:from>
      <xdr:col>7</xdr:col>
      <xdr:colOff>47625</xdr:colOff>
      <xdr:row>53</xdr:row>
      <xdr:rowOff>100013</xdr:rowOff>
    </xdr:from>
    <xdr:to>
      <xdr:col>7</xdr:col>
      <xdr:colOff>819151</xdr:colOff>
      <xdr:row>53</xdr:row>
      <xdr:rowOff>152400</xdr:rowOff>
    </xdr:to>
    <xdr:cxnSp macro="">
      <xdr:nvCxnSpPr>
        <xdr:cNvPr id="182" name="Straight Arrow Connector 181">
          <a:extLst>
            <a:ext uri="{FF2B5EF4-FFF2-40B4-BE49-F238E27FC236}">
              <a16:creationId xmlns:a16="http://schemas.microsoft.com/office/drawing/2014/main" id="{7258D513-BD29-4E6E-8D53-DC62CD34CD3F}"/>
            </a:ext>
          </a:extLst>
        </xdr:cNvPr>
        <xdr:cNvCxnSpPr>
          <a:cxnSpLocks/>
          <a:stCxn id="185" idx="1"/>
          <a:endCxn id="181" idx="3"/>
        </xdr:cNvCxnSpPr>
      </xdr:nvCxnSpPr>
      <xdr:spPr>
        <a:xfrm flipH="1" flipV="1">
          <a:off x="8782050" y="14368463"/>
          <a:ext cx="771526" cy="52387"/>
        </a:xfrm>
        <a:prstGeom prst="straightConnector1">
          <a:avLst/>
        </a:prstGeom>
        <a:ln w="57150">
          <a:solidFill>
            <a:srgbClr val="FFC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819151</xdr:colOff>
      <xdr:row>52</xdr:row>
      <xdr:rowOff>200025</xdr:rowOff>
    </xdr:from>
    <xdr:to>
      <xdr:col>11</xdr:col>
      <xdr:colOff>200026</xdr:colOff>
      <xdr:row>54</xdr:row>
      <xdr:rowOff>114300</xdr:rowOff>
    </xdr:to>
    <xdr:sp macro="" textlink="">
      <xdr:nvSpPr>
        <xdr:cNvPr id="185" name="TextBox 184">
          <a:extLst>
            <a:ext uri="{FF2B5EF4-FFF2-40B4-BE49-F238E27FC236}">
              <a16:creationId xmlns:a16="http://schemas.microsoft.com/office/drawing/2014/main" id="{327A0C89-219D-4C70-B100-BFAB2AA9212C}"/>
            </a:ext>
          </a:extLst>
        </xdr:cNvPr>
        <xdr:cNvSpPr txBox="1"/>
      </xdr:nvSpPr>
      <xdr:spPr>
        <a:xfrm>
          <a:off x="9553576" y="14249400"/>
          <a:ext cx="2667000" cy="342900"/>
        </a:xfrm>
        <a:prstGeom prst="rect">
          <a:avLst/>
        </a:prstGeom>
        <a:solidFill>
          <a:schemeClr val="lt1"/>
        </a:solidFill>
        <a:ln w="9525" cmpd="sng">
          <a:solidFill>
            <a:srgbClr val="FFC000"/>
          </a:solid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A27B00"/>
              </a:solidFill>
              <a:effectLst/>
            </a:rPr>
            <a:t>Same  input variables</a:t>
          </a:r>
          <a:r>
            <a:rPr lang="en-CA" sz="1100" b="1" baseline="0">
              <a:solidFill>
                <a:srgbClr val="A27B00"/>
              </a:solidFill>
              <a:effectLst/>
            </a:rPr>
            <a:t> as in carrots</a:t>
          </a:r>
          <a:endParaRPr lang="en-CA" sz="1100" b="1">
            <a:solidFill>
              <a:srgbClr val="A27B00"/>
            </a:solidFill>
            <a:effectLst/>
          </a:endParaRPr>
        </a:p>
      </xdr:txBody>
    </xdr:sp>
    <xdr:clientData/>
  </xdr:twoCellAnchor>
  <xdr:twoCellAnchor>
    <xdr:from>
      <xdr:col>0</xdr:col>
      <xdr:colOff>390525</xdr:colOff>
      <xdr:row>95</xdr:row>
      <xdr:rowOff>123825</xdr:rowOff>
    </xdr:from>
    <xdr:to>
      <xdr:col>6</xdr:col>
      <xdr:colOff>76200</xdr:colOff>
      <xdr:row>101</xdr:row>
      <xdr:rowOff>38101</xdr:rowOff>
    </xdr:to>
    <xdr:sp macro="" textlink="">
      <xdr:nvSpPr>
        <xdr:cNvPr id="193" name="Rectangle 192">
          <a:extLst>
            <a:ext uri="{FF2B5EF4-FFF2-40B4-BE49-F238E27FC236}">
              <a16:creationId xmlns:a16="http://schemas.microsoft.com/office/drawing/2014/main" id="{27B3B00E-865A-4752-A46E-0E9DDC30EC26}"/>
            </a:ext>
          </a:extLst>
        </xdr:cNvPr>
        <xdr:cNvSpPr/>
      </xdr:nvSpPr>
      <xdr:spPr>
        <a:xfrm>
          <a:off x="390525" y="22488525"/>
          <a:ext cx="7496175" cy="11239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6</xdr:col>
      <xdr:colOff>76200</xdr:colOff>
      <xdr:row>98</xdr:row>
      <xdr:rowOff>76201</xdr:rowOff>
    </xdr:from>
    <xdr:to>
      <xdr:col>7</xdr:col>
      <xdr:colOff>276225</xdr:colOff>
      <xdr:row>99</xdr:row>
      <xdr:rowOff>38100</xdr:rowOff>
    </xdr:to>
    <xdr:cxnSp macro="">
      <xdr:nvCxnSpPr>
        <xdr:cNvPr id="196" name="Straight Arrow Connector 195">
          <a:extLst>
            <a:ext uri="{FF2B5EF4-FFF2-40B4-BE49-F238E27FC236}">
              <a16:creationId xmlns:a16="http://schemas.microsoft.com/office/drawing/2014/main" id="{4A5FA189-3E2F-4813-BBFF-1EBE0BF9BA92}"/>
            </a:ext>
          </a:extLst>
        </xdr:cNvPr>
        <xdr:cNvCxnSpPr>
          <a:stCxn id="199" idx="1"/>
          <a:endCxn id="193" idx="3"/>
        </xdr:cNvCxnSpPr>
      </xdr:nvCxnSpPr>
      <xdr:spPr>
        <a:xfrm flipH="1" flipV="1">
          <a:off x="7886700" y="23050501"/>
          <a:ext cx="1123950" cy="152399"/>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276225</xdr:colOff>
      <xdr:row>96</xdr:row>
      <xdr:rowOff>180975</xdr:rowOff>
    </xdr:from>
    <xdr:to>
      <xdr:col>12</xdr:col>
      <xdr:colOff>9525</xdr:colOff>
      <xdr:row>101</xdr:row>
      <xdr:rowOff>66675</xdr:rowOff>
    </xdr:to>
    <xdr:sp macro="" textlink="">
      <xdr:nvSpPr>
        <xdr:cNvPr id="199" name="TextBox 198">
          <a:extLst>
            <a:ext uri="{FF2B5EF4-FFF2-40B4-BE49-F238E27FC236}">
              <a16:creationId xmlns:a16="http://schemas.microsoft.com/office/drawing/2014/main" id="{E286ABD2-3B1C-45CE-BB21-A23D1DF8A5CE}"/>
            </a:ext>
          </a:extLst>
        </xdr:cNvPr>
        <xdr:cNvSpPr txBox="1"/>
      </xdr:nvSpPr>
      <xdr:spPr>
        <a:xfrm>
          <a:off x="9010650" y="22764750"/>
          <a:ext cx="3857625" cy="876300"/>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800000"/>
              </a:solidFill>
              <a:effectLst/>
            </a:rPr>
            <a:t>The annual net benefit of the investment is calculated by comparing the differences in herbicide application costs (1), hand weeding costs (2), and the annual subscription cost (3), while accounting for the increased revenue from higher yields (4)</a:t>
          </a:r>
        </a:p>
      </xdr:txBody>
    </xdr:sp>
    <xdr:clientData/>
  </xdr:twoCellAnchor>
  <xdr:twoCellAnchor>
    <xdr:from>
      <xdr:col>0</xdr:col>
      <xdr:colOff>381001</xdr:colOff>
      <xdr:row>101</xdr:row>
      <xdr:rowOff>152400</xdr:rowOff>
    </xdr:from>
    <xdr:to>
      <xdr:col>4</xdr:col>
      <xdr:colOff>76201</xdr:colOff>
      <xdr:row>104</xdr:row>
      <xdr:rowOff>57150</xdr:rowOff>
    </xdr:to>
    <xdr:sp macro="" textlink="">
      <xdr:nvSpPr>
        <xdr:cNvPr id="213" name="Rectangle 212">
          <a:extLst>
            <a:ext uri="{FF2B5EF4-FFF2-40B4-BE49-F238E27FC236}">
              <a16:creationId xmlns:a16="http://schemas.microsoft.com/office/drawing/2014/main" id="{CEC7C9D6-4B95-4CEA-96EF-4DB3C090A60E}"/>
            </a:ext>
          </a:extLst>
        </xdr:cNvPr>
        <xdr:cNvSpPr/>
      </xdr:nvSpPr>
      <xdr:spPr>
        <a:xfrm>
          <a:off x="381001" y="23726775"/>
          <a:ext cx="5657850" cy="828675"/>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76201</xdr:colOff>
      <xdr:row>102</xdr:row>
      <xdr:rowOff>333375</xdr:rowOff>
    </xdr:from>
    <xdr:to>
      <xdr:col>5</xdr:col>
      <xdr:colOff>857250</xdr:colOff>
      <xdr:row>102</xdr:row>
      <xdr:rowOff>347663</xdr:rowOff>
    </xdr:to>
    <xdr:cxnSp macro="">
      <xdr:nvCxnSpPr>
        <xdr:cNvPr id="214" name="Straight Arrow Connector 213">
          <a:extLst>
            <a:ext uri="{FF2B5EF4-FFF2-40B4-BE49-F238E27FC236}">
              <a16:creationId xmlns:a16="http://schemas.microsoft.com/office/drawing/2014/main" id="{F7FC3BAB-D560-4748-93C5-2C2B20BCB5DE}"/>
            </a:ext>
          </a:extLst>
        </xdr:cNvPr>
        <xdr:cNvCxnSpPr>
          <a:cxnSpLocks/>
          <a:stCxn id="217" idx="1"/>
          <a:endCxn id="213" idx="3"/>
        </xdr:cNvCxnSpPr>
      </xdr:nvCxnSpPr>
      <xdr:spPr>
        <a:xfrm flipH="1">
          <a:off x="6038851" y="24126825"/>
          <a:ext cx="1704974" cy="14288"/>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857250</xdr:colOff>
      <xdr:row>102</xdr:row>
      <xdr:rowOff>66675</xdr:rowOff>
    </xdr:from>
    <xdr:to>
      <xdr:col>9</xdr:col>
      <xdr:colOff>733425</xdr:colOff>
      <xdr:row>103</xdr:row>
      <xdr:rowOff>247650</xdr:rowOff>
    </xdr:to>
    <xdr:sp macro="" textlink="">
      <xdr:nvSpPr>
        <xdr:cNvPr id="217" name="TextBox 216">
          <a:extLst>
            <a:ext uri="{FF2B5EF4-FFF2-40B4-BE49-F238E27FC236}">
              <a16:creationId xmlns:a16="http://schemas.microsoft.com/office/drawing/2014/main" id="{4B14BA1D-0E02-4AAF-8B4F-B0406278D894}"/>
            </a:ext>
          </a:extLst>
        </xdr:cNvPr>
        <xdr:cNvSpPr txBox="1"/>
      </xdr:nvSpPr>
      <xdr:spPr>
        <a:xfrm>
          <a:off x="7743825" y="23860125"/>
          <a:ext cx="3571875" cy="533400"/>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chemeClr val="accent3"/>
              </a:solidFill>
              <a:effectLst/>
            </a:rPr>
            <a:t>This is optional information, used only if loan data was entered previously. It serves as a general reference</a:t>
          </a:r>
          <a:r>
            <a:rPr lang="en-CA" sz="1100" b="1" baseline="0">
              <a:solidFill>
                <a:schemeClr val="accent3"/>
              </a:solidFill>
              <a:effectLst/>
            </a:rPr>
            <a:t> only. </a:t>
          </a:r>
          <a:endParaRPr lang="en-CA" sz="1100" b="1">
            <a:solidFill>
              <a:schemeClr val="accent3"/>
            </a:solidFill>
            <a:effectLst/>
          </a:endParaRPr>
        </a:p>
      </xdr:txBody>
    </xdr:sp>
    <xdr:clientData/>
  </xdr:twoCellAnchor>
  <xdr:twoCellAnchor>
    <xdr:from>
      <xdr:col>0</xdr:col>
      <xdr:colOff>390525</xdr:colOff>
      <xdr:row>104</xdr:row>
      <xdr:rowOff>133350</xdr:rowOff>
    </xdr:from>
    <xdr:to>
      <xdr:col>5</xdr:col>
      <xdr:colOff>19050</xdr:colOff>
      <xdr:row>109</xdr:row>
      <xdr:rowOff>76200</xdr:rowOff>
    </xdr:to>
    <xdr:sp macro="" textlink="">
      <xdr:nvSpPr>
        <xdr:cNvPr id="225" name="Rectangle 224">
          <a:extLst>
            <a:ext uri="{FF2B5EF4-FFF2-40B4-BE49-F238E27FC236}">
              <a16:creationId xmlns:a16="http://schemas.microsoft.com/office/drawing/2014/main" id="{C3B38E39-3F4A-46C0-8E3C-022EF9D37040}"/>
            </a:ext>
          </a:extLst>
        </xdr:cNvPr>
        <xdr:cNvSpPr/>
      </xdr:nvSpPr>
      <xdr:spPr>
        <a:xfrm>
          <a:off x="390525" y="24631650"/>
          <a:ext cx="6515100" cy="971550"/>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solidFill>
              <a:srgbClr val="FFFF00"/>
            </a:solidFill>
          </a:endParaRPr>
        </a:p>
      </xdr:txBody>
    </xdr:sp>
    <xdr:clientData/>
  </xdr:twoCellAnchor>
  <xdr:twoCellAnchor>
    <xdr:from>
      <xdr:col>5</xdr:col>
      <xdr:colOff>19050</xdr:colOff>
      <xdr:row>106</xdr:row>
      <xdr:rowOff>180975</xdr:rowOff>
    </xdr:from>
    <xdr:to>
      <xdr:col>5</xdr:col>
      <xdr:colOff>895349</xdr:colOff>
      <xdr:row>109</xdr:row>
      <xdr:rowOff>33338</xdr:rowOff>
    </xdr:to>
    <xdr:cxnSp macro="">
      <xdr:nvCxnSpPr>
        <xdr:cNvPr id="226" name="Straight Arrow Connector 225">
          <a:extLst>
            <a:ext uri="{FF2B5EF4-FFF2-40B4-BE49-F238E27FC236}">
              <a16:creationId xmlns:a16="http://schemas.microsoft.com/office/drawing/2014/main" id="{0EE10D9B-4BF5-42F9-BB18-8A02FC0FC23C}"/>
            </a:ext>
          </a:extLst>
        </xdr:cNvPr>
        <xdr:cNvCxnSpPr>
          <a:cxnSpLocks/>
          <a:stCxn id="229" idx="1"/>
          <a:endCxn id="225" idx="3"/>
        </xdr:cNvCxnSpPr>
      </xdr:nvCxnSpPr>
      <xdr:spPr>
        <a:xfrm flipH="1" flipV="1">
          <a:off x="6905625" y="25117425"/>
          <a:ext cx="876299" cy="442913"/>
        </a:xfrm>
        <a:prstGeom prst="straightConnector1">
          <a:avLst/>
        </a:prstGeom>
        <a:ln w="57150">
          <a:solidFill>
            <a:srgbClr val="FFC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895349</xdr:colOff>
      <xdr:row>105</xdr:row>
      <xdr:rowOff>1</xdr:rowOff>
    </xdr:from>
    <xdr:to>
      <xdr:col>13</xdr:col>
      <xdr:colOff>228600</xdr:colOff>
      <xdr:row>113</xdr:row>
      <xdr:rowOff>38100</xdr:rowOff>
    </xdr:to>
    <xdr:sp macro="" textlink="">
      <xdr:nvSpPr>
        <xdr:cNvPr id="229" name="TextBox 228">
          <a:extLst>
            <a:ext uri="{FF2B5EF4-FFF2-40B4-BE49-F238E27FC236}">
              <a16:creationId xmlns:a16="http://schemas.microsoft.com/office/drawing/2014/main" id="{53E68F52-6E7A-49BC-9988-D56DBD3466FD}"/>
            </a:ext>
          </a:extLst>
        </xdr:cNvPr>
        <xdr:cNvSpPr txBox="1"/>
      </xdr:nvSpPr>
      <xdr:spPr>
        <a:xfrm>
          <a:off x="7781924" y="24717376"/>
          <a:ext cx="5905501" cy="1685924"/>
        </a:xfrm>
        <a:prstGeom prst="rect">
          <a:avLst/>
        </a:prstGeom>
        <a:solidFill>
          <a:schemeClr val="lt1"/>
        </a:solidFill>
        <a:ln w="9525" cmpd="sng">
          <a:solidFill>
            <a:srgbClr val="FFC000"/>
          </a:solid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solidFill>
                <a:schemeClr val="bg2">
                  <a:lumMod val="25000"/>
                </a:schemeClr>
              </a:solidFill>
              <a:effectLst/>
            </a:rPr>
            <a:t>Four financial indicators are presented in this section</a:t>
          </a:r>
          <a:r>
            <a:rPr lang="en-CA" sz="1100" b="1">
              <a:solidFill>
                <a:schemeClr val="bg2">
                  <a:lumMod val="25000"/>
                </a:schemeClr>
              </a:solidFill>
              <a:effectLst/>
            </a:rPr>
            <a:t>:</a:t>
          </a:r>
        </a:p>
        <a:p>
          <a:r>
            <a:rPr lang="en-CA" sz="1100" b="1">
              <a:solidFill>
                <a:schemeClr val="bg2">
                  <a:lumMod val="25000"/>
                </a:schemeClr>
              </a:solidFill>
              <a:effectLst/>
            </a:rPr>
            <a:t>Payback Period: </a:t>
          </a:r>
          <a:r>
            <a:rPr lang="en-CA" sz="1100" b="0">
              <a:solidFill>
                <a:schemeClr val="bg2">
                  <a:lumMod val="25000"/>
                </a:schemeClr>
              </a:solidFill>
              <a:effectLst/>
            </a:rPr>
            <a:t>The amount of time required to recover the cost of the optical sprayer investment.</a:t>
          </a:r>
        </a:p>
        <a:p>
          <a:r>
            <a:rPr lang="en-CA" sz="1100" b="1">
              <a:solidFill>
                <a:schemeClr val="bg2">
                  <a:lumMod val="25000"/>
                </a:schemeClr>
              </a:solidFill>
              <a:effectLst/>
            </a:rPr>
            <a:t>Return on Investment (ROI): </a:t>
          </a:r>
          <a:r>
            <a:rPr lang="en-CA" sz="1100" b="0">
              <a:solidFill>
                <a:schemeClr val="bg2">
                  <a:lumMod val="25000"/>
                </a:schemeClr>
              </a:solidFill>
              <a:effectLst/>
            </a:rPr>
            <a:t>Measures the profit generated by the investment relative to its cost</a:t>
          </a:r>
          <a:r>
            <a:rPr lang="en-CA" sz="1100" b="1">
              <a:solidFill>
                <a:schemeClr val="bg2">
                  <a:lumMod val="25000"/>
                </a:schemeClr>
              </a:solidFill>
              <a:effectLst/>
            </a:rPr>
            <a:t>.</a:t>
          </a:r>
        </a:p>
        <a:p>
          <a:r>
            <a:rPr lang="en-CA" sz="1100" b="1">
              <a:solidFill>
                <a:schemeClr val="bg2">
                  <a:lumMod val="25000"/>
                </a:schemeClr>
              </a:solidFill>
              <a:effectLst/>
            </a:rPr>
            <a:t>Net Present Value (NPV): </a:t>
          </a:r>
          <a:r>
            <a:rPr lang="en-CA" sz="1100" b="0">
              <a:solidFill>
                <a:schemeClr val="bg2">
                  <a:lumMod val="25000"/>
                </a:schemeClr>
              </a:solidFill>
              <a:effectLst/>
            </a:rPr>
            <a:t>An optional indicator that can be calculated only if a discount rate was entered. Its interpretation is less intuitive than ROI and payback period and requires some financial background.</a:t>
          </a:r>
        </a:p>
        <a:p>
          <a:r>
            <a:rPr lang="en-CA" sz="1100" b="1">
              <a:solidFill>
                <a:schemeClr val="bg2">
                  <a:lumMod val="25000"/>
                </a:schemeClr>
              </a:solidFill>
              <a:effectLst/>
            </a:rPr>
            <a:t>Internal Rate of Return (IRR):  </a:t>
          </a:r>
          <a:r>
            <a:rPr lang="en-CA" sz="1100" b="0">
              <a:solidFill>
                <a:schemeClr val="bg2">
                  <a:lumMod val="25000"/>
                </a:schemeClr>
              </a:solidFill>
              <a:effectLst/>
            </a:rPr>
            <a:t>Similar to NPV, IRR also requires a discount rate and a deeper understanding of financial concepts for proper interpretation.</a:t>
          </a:r>
        </a:p>
        <a:p>
          <a:endParaRPr lang="en-CA" sz="1100" b="1">
            <a:solidFill>
              <a:srgbClr val="FFC000"/>
            </a:solidFill>
            <a:effectLst/>
          </a:endParaRPr>
        </a:p>
      </xdr:txBody>
    </xdr:sp>
    <xdr:clientData/>
  </xdr:twoCellAnchor>
  <xdr:twoCellAnchor>
    <xdr:from>
      <xdr:col>18</xdr:col>
      <xdr:colOff>500061</xdr:colOff>
      <xdr:row>6</xdr:row>
      <xdr:rowOff>166687</xdr:rowOff>
    </xdr:from>
    <xdr:to>
      <xdr:col>31</xdr:col>
      <xdr:colOff>214312</xdr:colOff>
      <xdr:row>63</xdr:row>
      <xdr:rowOff>142874</xdr:rowOff>
    </xdr:to>
    <xdr:sp macro="" textlink="">
      <xdr:nvSpPr>
        <xdr:cNvPr id="10" name="Rectangle 9">
          <a:extLst>
            <a:ext uri="{FF2B5EF4-FFF2-40B4-BE49-F238E27FC236}">
              <a16:creationId xmlns:a16="http://schemas.microsoft.com/office/drawing/2014/main" id="{EC6F5067-962C-4428-8A25-5D979A67F3A5}"/>
            </a:ext>
          </a:extLst>
        </xdr:cNvPr>
        <xdr:cNvSpPr/>
      </xdr:nvSpPr>
      <xdr:spPr>
        <a:xfrm>
          <a:off x="18026061" y="1452562"/>
          <a:ext cx="9167814" cy="12930187"/>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solidFill>
              <a:srgbClr val="FFFF00"/>
            </a:solidFill>
          </a:endParaRPr>
        </a:p>
      </xdr:txBody>
    </xdr:sp>
    <xdr:clientData/>
  </xdr:twoCellAnchor>
  <xdr:twoCellAnchor>
    <xdr:from>
      <xdr:col>18</xdr:col>
      <xdr:colOff>574249</xdr:colOff>
      <xdr:row>63</xdr:row>
      <xdr:rowOff>146538</xdr:rowOff>
    </xdr:from>
    <xdr:to>
      <xdr:col>20</xdr:col>
      <xdr:colOff>7327</xdr:colOff>
      <xdr:row>68</xdr:row>
      <xdr:rowOff>202589</xdr:rowOff>
    </xdr:to>
    <xdr:cxnSp macro="">
      <xdr:nvCxnSpPr>
        <xdr:cNvPr id="11" name="Straight Arrow Connector 10">
          <a:extLst>
            <a:ext uri="{FF2B5EF4-FFF2-40B4-BE49-F238E27FC236}">
              <a16:creationId xmlns:a16="http://schemas.microsoft.com/office/drawing/2014/main" id="{7E6D4117-B9A7-4016-A41E-7FB6B2386176}"/>
            </a:ext>
          </a:extLst>
        </xdr:cNvPr>
        <xdr:cNvCxnSpPr>
          <a:cxnSpLocks/>
          <a:stCxn id="18" idx="0"/>
        </xdr:cNvCxnSpPr>
      </xdr:nvCxnSpPr>
      <xdr:spPr>
        <a:xfrm flipV="1">
          <a:off x="18092922" y="14470673"/>
          <a:ext cx="869155" cy="1155089"/>
        </a:xfrm>
        <a:prstGeom prst="straightConnector1">
          <a:avLst/>
        </a:prstGeom>
        <a:ln w="57150">
          <a:solidFill>
            <a:srgbClr val="FFC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738189</xdr:colOff>
      <xdr:row>68</xdr:row>
      <xdr:rowOff>202589</xdr:rowOff>
    </xdr:from>
    <xdr:to>
      <xdr:col>21</xdr:col>
      <xdr:colOff>227135</xdr:colOff>
      <xdr:row>71</xdr:row>
      <xdr:rowOff>36634</xdr:rowOff>
    </xdr:to>
    <xdr:sp macro="" textlink="">
      <xdr:nvSpPr>
        <xdr:cNvPr id="18" name="TextBox 17">
          <a:extLst>
            <a:ext uri="{FF2B5EF4-FFF2-40B4-BE49-F238E27FC236}">
              <a16:creationId xmlns:a16="http://schemas.microsoft.com/office/drawing/2014/main" id="{BD979ECF-788E-4DDE-AB4D-956C07CEF8A4}"/>
            </a:ext>
          </a:extLst>
        </xdr:cNvPr>
        <xdr:cNvSpPr txBox="1"/>
      </xdr:nvSpPr>
      <xdr:spPr>
        <a:xfrm>
          <a:off x="16586324" y="15625762"/>
          <a:ext cx="3013196" cy="625353"/>
        </a:xfrm>
        <a:prstGeom prst="rect">
          <a:avLst/>
        </a:prstGeom>
        <a:solidFill>
          <a:schemeClr val="lt1"/>
        </a:solidFill>
        <a:ln w="9525" cmpd="sng">
          <a:solidFill>
            <a:srgbClr val="FFC000"/>
          </a:solid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A27B00"/>
              </a:solidFill>
              <a:effectLst/>
            </a:rPr>
            <a:t>These tables show the expected results for different combinations of onion and carrot cultivation areas.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hyperlink" Target="https://dir.tridge.com/prices/fresh-carrot/CA?utm_source=chatgpt.com" TargetMode="External"/><Relationship Id="rId2" Type="http://schemas.openxmlformats.org/officeDocument/2006/relationships/hyperlink" Target="https://extension.oregonstate.edu/sites/extd8/files/documents/33601/onion-cost-production-dialogue.pdf" TargetMode="External"/><Relationship Id="rId1" Type="http://schemas.openxmlformats.org/officeDocument/2006/relationships/hyperlink" Target="https://agrisk.umn.edu/Budgets?c=217&amp;by=2025" TargetMode="External"/><Relationship Id="rId5" Type="http://schemas.openxmlformats.org/officeDocument/2006/relationships/hyperlink" Target="https://extension.unr.edu/publication.aspx?PubID=2310" TargetMode="External"/><Relationship Id="rId4" Type="http://schemas.openxmlformats.org/officeDocument/2006/relationships/hyperlink" Target="https://www.a1cashandcarry.com/products/fresh-onion-cooking-50lb?srsltid=AfmBOoovH5EgubokXFiz15h8A7p9A8Jv0WWquppPMrFbhd26NlvLxECn&amp;utm_source=chatgpt.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3047D-3593-42F7-984A-D3D5076E4332}">
  <dimension ref="A1"/>
  <sheetViews>
    <sheetView showGridLines="0" zoomScale="73" workbookViewId="0">
      <selection activeCell="Q33" sqref="Q33"/>
    </sheetView>
  </sheetViews>
  <sheetFormatPr defaultRowHeight="15" x14ac:dyDescent="0.25"/>
  <sheetData/>
  <sheetProtection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48EC6-754F-429A-84B9-DFD076E3767D}">
  <dimension ref="B5:AF113"/>
  <sheetViews>
    <sheetView showGridLines="0" tabSelected="1" topLeftCell="A71" zoomScaleNormal="100" workbookViewId="0">
      <selection activeCell="E85" sqref="E85"/>
    </sheetView>
  </sheetViews>
  <sheetFormatPr defaultColWidth="9.140625" defaultRowHeight="16.5" x14ac:dyDescent="0.25"/>
  <cols>
    <col min="1" max="1" width="7.28515625" style="86" customWidth="1"/>
    <col min="2" max="2" width="11.7109375" style="235" customWidth="1"/>
    <col min="3" max="3" width="56.5703125" style="85" customWidth="1"/>
    <col min="4" max="4" width="14.5703125" style="115" bestFit="1" customWidth="1"/>
    <col min="5" max="8" width="13.85546875" style="115" customWidth="1"/>
    <col min="9" max="9" width="13.85546875" style="86" customWidth="1"/>
    <col min="10" max="10" width="12.5703125" style="86" bestFit="1" customWidth="1"/>
    <col min="11" max="11" width="9" style="86" bestFit="1" customWidth="1"/>
    <col min="12" max="12" width="12.5703125" style="86" bestFit="1" customWidth="1"/>
    <col min="13" max="13" width="9" style="86" bestFit="1" customWidth="1"/>
    <col min="14" max="14" width="10" style="86" bestFit="1" customWidth="1"/>
    <col min="15" max="15" width="13.42578125" style="86" bestFit="1" customWidth="1"/>
    <col min="16" max="19" width="12.5703125" style="86" bestFit="1" customWidth="1"/>
    <col min="20" max="20" width="9" style="86" bestFit="1" customWidth="1"/>
    <col min="21" max="21" width="6.28515625" style="86" bestFit="1" customWidth="1"/>
    <col min="22" max="31" width="12.28515625" style="86" bestFit="1" customWidth="1"/>
    <col min="32" max="16384" width="9.140625" style="86"/>
  </cols>
  <sheetData>
    <row r="5" spans="2:32" x14ac:dyDescent="0.25">
      <c r="S5" s="553" t="s">
        <v>208</v>
      </c>
      <c r="T5" s="553"/>
      <c r="U5" s="553"/>
      <c r="V5" s="553"/>
      <c r="W5" s="553"/>
      <c r="X5" s="553"/>
      <c r="Y5" s="553"/>
      <c r="Z5" s="553"/>
      <c r="AA5" s="553"/>
      <c r="AB5" s="553"/>
      <c r="AC5" s="553"/>
      <c r="AD5" s="553"/>
      <c r="AE5" s="553"/>
      <c r="AF5" s="553"/>
    </row>
    <row r="6" spans="2:32" ht="17.25" thickBot="1" x14ac:dyDescent="0.3">
      <c r="E6" s="572"/>
      <c r="F6" s="572"/>
      <c r="G6" s="572"/>
      <c r="H6" s="572"/>
      <c r="I6" s="572"/>
      <c r="J6" s="572"/>
      <c r="K6" s="572"/>
      <c r="L6" s="572"/>
      <c r="S6" s="553"/>
      <c r="T6" s="553"/>
      <c r="U6" s="553"/>
      <c r="V6" s="553"/>
      <c r="W6" s="553"/>
      <c r="X6" s="553"/>
      <c r="Y6" s="553"/>
      <c r="Z6" s="553"/>
      <c r="AA6" s="553"/>
      <c r="AB6" s="553"/>
      <c r="AC6" s="553"/>
      <c r="AD6" s="553"/>
      <c r="AE6" s="553"/>
      <c r="AF6" s="553"/>
    </row>
    <row r="7" spans="2:32" x14ac:dyDescent="0.25">
      <c r="B7" s="549" t="s">
        <v>80</v>
      </c>
      <c r="C7" s="420" t="s">
        <v>179</v>
      </c>
      <c r="D7" s="377">
        <v>400000</v>
      </c>
      <c r="E7" s="537"/>
      <c r="F7" s="543"/>
      <c r="G7" s="543"/>
      <c r="H7" s="543"/>
      <c r="I7" s="543"/>
      <c r="J7" s="543"/>
      <c r="K7" s="543"/>
      <c r="L7" s="543"/>
    </row>
    <row r="8" spans="2:32" ht="17.25" thickBot="1" x14ac:dyDescent="0.3">
      <c r="B8" s="550"/>
      <c r="C8" s="421" t="s">
        <v>180</v>
      </c>
      <c r="D8" s="418">
        <v>25000</v>
      </c>
      <c r="E8" s="537"/>
      <c r="F8" s="543"/>
      <c r="G8" s="543"/>
      <c r="H8" s="543"/>
      <c r="I8" s="543"/>
      <c r="J8" s="543"/>
      <c r="K8" s="543"/>
      <c r="L8" s="543"/>
    </row>
    <row r="9" spans="2:32" ht="19.5" thickBot="1" x14ac:dyDescent="0.3">
      <c r="B9" s="551"/>
      <c r="C9" s="422" t="s">
        <v>24</v>
      </c>
      <c r="D9" s="378">
        <v>20000</v>
      </c>
      <c r="E9" s="537"/>
      <c r="F9" s="543"/>
      <c r="G9" s="543"/>
      <c r="H9" s="543"/>
      <c r="I9" s="543"/>
      <c r="J9" s="543"/>
      <c r="K9" s="543"/>
      <c r="L9" s="543"/>
      <c r="T9" s="563" t="s">
        <v>112</v>
      </c>
      <c r="U9" s="564"/>
      <c r="V9" s="564"/>
      <c r="W9" s="564"/>
      <c r="X9" s="564"/>
      <c r="Y9" s="564"/>
      <c r="Z9" s="564"/>
      <c r="AA9" s="564"/>
      <c r="AB9" s="564"/>
      <c r="AC9" s="564"/>
      <c r="AD9" s="564"/>
      <c r="AE9" s="565"/>
    </row>
    <row r="10" spans="2:32" ht="19.5" thickBot="1" x14ac:dyDescent="0.3">
      <c r="B10" s="551"/>
      <c r="C10" s="423" t="s">
        <v>14</v>
      </c>
      <c r="D10" s="379">
        <v>250</v>
      </c>
      <c r="E10" s="407"/>
      <c r="F10" s="409"/>
      <c r="G10" s="409"/>
      <c r="H10" s="409"/>
      <c r="I10" s="409"/>
      <c r="J10" s="409"/>
      <c r="K10" s="409"/>
      <c r="L10" s="409"/>
      <c r="T10" s="411"/>
      <c r="U10" s="412"/>
      <c r="V10" s="412"/>
      <c r="W10" s="412"/>
      <c r="X10" s="412"/>
      <c r="Y10" s="412"/>
      <c r="Z10" s="412"/>
      <c r="AA10" s="412"/>
      <c r="AB10" s="412"/>
      <c r="AC10" s="412"/>
      <c r="AD10" s="412"/>
      <c r="AE10" s="413"/>
    </row>
    <row r="11" spans="2:32" ht="33.75" thickBot="1" x14ac:dyDescent="0.3">
      <c r="B11" s="551"/>
      <c r="C11" s="423" t="s">
        <v>178</v>
      </c>
      <c r="D11" s="424">
        <f>D7*0.015</f>
        <v>6000</v>
      </c>
      <c r="E11" s="407"/>
      <c r="F11" s="409"/>
      <c r="G11" s="409"/>
      <c r="H11" s="409"/>
      <c r="I11" s="409"/>
      <c r="J11" s="409"/>
      <c r="K11" s="409"/>
      <c r="L11" s="409"/>
      <c r="T11" s="411"/>
      <c r="U11" s="412"/>
      <c r="V11" s="412"/>
      <c r="W11" s="412"/>
      <c r="X11" s="412"/>
      <c r="Y11" s="412"/>
      <c r="Z11" s="412"/>
      <c r="AA11" s="412"/>
      <c r="AB11" s="412"/>
      <c r="AC11" s="412"/>
      <c r="AD11" s="412"/>
      <c r="AE11" s="413"/>
    </row>
    <row r="12" spans="2:32" ht="33.75" thickBot="1" x14ac:dyDescent="0.3">
      <c r="B12" s="551"/>
      <c r="C12" s="423" t="s">
        <v>182</v>
      </c>
      <c r="D12" s="425">
        <f>D8*0.035</f>
        <v>875.00000000000011</v>
      </c>
      <c r="E12" s="537"/>
      <c r="F12" s="543"/>
      <c r="G12" s="543"/>
      <c r="H12" s="543"/>
      <c r="I12" s="543"/>
      <c r="J12" s="543"/>
      <c r="K12" s="543"/>
      <c r="L12" s="543"/>
      <c r="T12" s="177"/>
      <c r="U12" s="178"/>
      <c r="V12" s="557" t="s">
        <v>26</v>
      </c>
      <c r="W12" s="558"/>
      <c r="X12" s="558"/>
      <c r="Y12" s="558"/>
      <c r="Z12" s="558"/>
      <c r="AA12" s="558"/>
      <c r="AB12" s="558"/>
      <c r="AC12" s="558"/>
      <c r="AD12" s="558"/>
      <c r="AE12" s="559"/>
    </row>
    <row r="13" spans="2:32" ht="17.25" thickBot="1" x14ac:dyDescent="0.3">
      <c r="B13" s="551"/>
      <c r="C13" s="422" t="s">
        <v>5</v>
      </c>
      <c r="D13" s="379">
        <v>22.5</v>
      </c>
      <c r="E13" s="537"/>
      <c r="F13" s="538"/>
      <c r="G13" s="538"/>
      <c r="H13" s="538"/>
      <c r="I13" s="538"/>
      <c r="J13" s="538"/>
      <c r="K13" s="205"/>
      <c r="L13" s="205"/>
      <c r="T13" s="179"/>
      <c r="U13" s="180">
        <f>C169</f>
        <v>0</v>
      </c>
      <c r="V13" s="342">
        <v>10</v>
      </c>
      <c r="W13" s="182">
        <f t="shared" ref="W13:AE13" si="0">V13+10</f>
        <v>20</v>
      </c>
      <c r="X13" s="182">
        <f t="shared" si="0"/>
        <v>30</v>
      </c>
      <c r="Y13" s="182">
        <f t="shared" si="0"/>
        <v>40</v>
      </c>
      <c r="Z13" s="182">
        <f t="shared" si="0"/>
        <v>50</v>
      </c>
      <c r="AA13" s="182">
        <f t="shared" si="0"/>
        <v>60</v>
      </c>
      <c r="AB13" s="182">
        <f t="shared" si="0"/>
        <v>70</v>
      </c>
      <c r="AC13" s="182">
        <f t="shared" si="0"/>
        <v>80</v>
      </c>
      <c r="AD13" s="182">
        <f t="shared" si="0"/>
        <v>90</v>
      </c>
      <c r="AE13" s="183">
        <f t="shared" si="0"/>
        <v>100</v>
      </c>
    </row>
    <row r="14" spans="2:32" x14ac:dyDescent="0.25">
      <c r="B14" s="551"/>
      <c r="C14" s="423" t="str">
        <f>_xlfn.CONCAT(D45," cost ($/litre)")</f>
        <v>Lorox cost ($/litre)</v>
      </c>
      <c r="D14" s="379">
        <v>36</v>
      </c>
      <c r="E14" s="537"/>
      <c r="F14" s="538"/>
      <c r="G14" s="538"/>
      <c r="H14" s="538"/>
      <c r="I14" s="538"/>
      <c r="J14" s="538"/>
      <c r="K14" s="205"/>
      <c r="L14" s="205"/>
      <c r="T14" s="560" t="s">
        <v>27</v>
      </c>
      <c r="U14" s="51">
        <v>10</v>
      </c>
      <c r="V14" s="184">
        <v>38606</v>
      </c>
      <c r="W14" s="185">
        <v>79274</v>
      </c>
      <c r="X14" s="185">
        <v>119942</v>
      </c>
      <c r="Y14" s="185">
        <v>160610</v>
      </c>
      <c r="Z14" s="185">
        <v>201278</v>
      </c>
      <c r="AA14" s="185">
        <v>241946</v>
      </c>
      <c r="AB14" s="185">
        <v>282614</v>
      </c>
      <c r="AC14" s="185">
        <v>323282</v>
      </c>
      <c r="AD14" s="185">
        <v>363950</v>
      </c>
      <c r="AE14" s="186">
        <v>404618</v>
      </c>
    </row>
    <row r="15" spans="2:32" x14ac:dyDescent="0.25">
      <c r="B15" s="551"/>
      <c r="C15" s="422" t="str">
        <f>_xlfn.CONCAT(F45," cost ($/litre)")</f>
        <v>Ultra blazer cost ($/litre)</v>
      </c>
      <c r="D15" s="379">
        <v>22</v>
      </c>
      <c r="E15" s="537"/>
      <c r="F15" s="538"/>
      <c r="G15" s="538"/>
      <c r="H15" s="538"/>
      <c r="I15" s="538"/>
      <c r="J15" s="538"/>
      <c r="K15" s="205"/>
      <c r="L15" s="205"/>
      <c r="T15" s="561"/>
      <c r="U15" s="51">
        <f t="shared" ref="U15:U23" si="1">U14+10</f>
        <v>20</v>
      </c>
      <c r="V15" s="187">
        <v>56544</v>
      </c>
      <c r="W15" s="80">
        <v>97212</v>
      </c>
      <c r="X15" s="80">
        <v>137880</v>
      </c>
      <c r="Y15" s="80">
        <v>178548</v>
      </c>
      <c r="Z15" s="80">
        <v>219216</v>
      </c>
      <c r="AA15" s="80">
        <v>259884</v>
      </c>
      <c r="AB15" s="80">
        <v>300552</v>
      </c>
      <c r="AC15" s="80">
        <v>341220</v>
      </c>
      <c r="AD15" s="80">
        <v>381888</v>
      </c>
      <c r="AE15" s="188">
        <v>422556</v>
      </c>
    </row>
    <row r="16" spans="2:32" x14ac:dyDescent="0.25">
      <c r="B16" s="551"/>
      <c r="C16" s="423" t="str">
        <f>_xlfn.CONCAT(H45," cost ($/litre)")</f>
        <v>Assist cost ($/litre)</v>
      </c>
      <c r="D16" s="379">
        <v>11</v>
      </c>
      <c r="E16" s="537"/>
      <c r="F16" s="538"/>
      <c r="G16" s="538"/>
      <c r="H16" s="538"/>
      <c r="I16" s="538"/>
      <c r="J16" s="538"/>
      <c r="K16" s="205"/>
      <c r="L16" s="205"/>
      <c r="T16" s="561"/>
      <c r="U16" s="51">
        <f t="shared" si="1"/>
        <v>30</v>
      </c>
      <c r="V16" s="189">
        <v>74483</v>
      </c>
      <c r="W16" s="81">
        <v>115151</v>
      </c>
      <c r="X16" s="81">
        <v>155819</v>
      </c>
      <c r="Y16" s="81">
        <v>196487</v>
      </c>
      <c r="Z16" s="81">
        <v>237155</v>
      </c>
      <c r="AA16" s="81">
        <v>277823</v>
      </c>
      <c r="AB16" s="81">
        <v>318491</v>
      </c>
      <c r="AC16" s="81">
        <v>359159</v>
      </c>
      <c r="AD16" s="81">
        <v>399827</v>
      </c>
      <c r="AE16" s="190">
        <v>440495</v>
      </c>
    </row>
    <row r="17" spans="2:31" x14ac:dyDescent="0.25">
      <c r="B17" s="551"/>
      <c r="C17" s="422" t="str">
        <f>_xlfn.CONCAT(D53," cost ($/litre)")</f>
        <v>Goal cost ($/litre)</v>
      </c>
      <c r="D17" s="379">
        <v>64</v>
      </c>
      <c r="E17" s="537"/>
      <c r="F17" s="538"/>
      <c r="G17" s="538"/>
      <c r="H17" s="538"/>
      <c r="I17" s="538"/>
      <c r="J17" s="538"/>
      <c r="K17" s="205"/>
      <c r="L17" s="205"/>
      <c r="T17" s="561"/>
      <c r="U17" s="51">
        <f t="shared" si="1"/>
        <v>40</v>
      </c>
      <c r="V17" s="187">
        <v>92421</v>
      </c>
      <c r="W17" s="80">
        <v>133089</v>
      </c>
      <c r="X17" s="80">
        <v>173757</v>
      </c>
      <c r="Y17" s="80">
        <v>214425</v>
      </c>
      <c r="Z17" s="80">
        <v>255093</v>
      </c>
      <c r="AA17" s="80">
        <v>295761</v>
      </c>
      <c r="AB17" s="80">
        <v>336429</v>
      </c>
      <c r="AC17" s="80">
        <v>377097</v>
      </c>
      <c r="AD17" s="80">
        <v>417765</v>
      </c>
      <c r="AE17" s="188">
        <v>458433</v>
      </c>
    </row>
    <row r="18" spans="2:31" ht="19.5" customHeight="1" x14ac:dyDescent="0.25">
      <c r="B18" s="551"/>
      <c r="C18" s="423" t="s">
        <v>12</v>
      </c>
      <c r="D18" s="379">
        <v>20</v>
      </c>
      <c r="E18" s="537"/>
      <c r="F18" s="543"/>
      <c r="G18" s="543"/>
      <c r="H18" s="543"/>
      <c r="I18" s="543"/>
      <c r="J18" s="543"/>
      <c r="K18" s="543"/>
      <c r="L18" s="543"/>
      <c r="T18" s="561"/>
      <c r="U18" s="51">
        <f t="shared" si="1"/>
        <v>50</v>
      </c>
      <c r="V18" s="187">
        <v>110359</v>
      </c>
      <c r="W18" s="80">
        <v>151027</v>
      </c>
      <c r="X18" s="80">
        <v>191695</v>
      </c>
      <c r="Y18" s="80">
        <v>232363</v>
      </c>
      <c r="Z18" s="80">
        <v>273031</v>
      </c>
      <c r="AA18" s="80">
        <v>313699</v>
      </c>
      <c r="AB18" s="80">
        <v>354367</v>
      </c>
      <c r="AC18" s="80">
        <v>395035</v>
      </c>
      <c r="AD18" s="80">
        <v>435703</v>
      </c>
      <c r="AE18" s="188">
        <v>476371</v>
      </c>
    </row>
    <row r="19" spans="2:31" ht="33" x14ac:dyDescent="0.25">
      <c r="B19" s="551"/>
      <c r="C19" s="422" t="s">
        <v>183</v>
      </c>
      <c r="D19" s="380">
        <v>30</v>
      </c>
      <c r="E19" s="537"/>
      <c r="F19" s="543"/>
      <c r="G19" s="543"/>
      <c r="H19" s="543"/>
      <c r="I19" s="543"/>
      <c r="J19" s="543"/>
      <c r="K19" s="543"/>
      <c r="L19" s="543"/>
      <c r="T19" s="561"/>
      <c r="U19" s="51">
        <f t="shared" si="1"/>
        <v>60</v>
      </c>
      <c r="V19" s="187">
        <v>128297</v>
      </c>
      <c r="W19" s="80">
        <v>168965</v>
      </c>
      <c r="X19" s="80">
        <v>209633</v>
      </c>
      <c r="Y19" s="80">
        <v>250301</v>
      </c>
      <c r="Z19" s="80">
        <v>290969</v>
      </c>
      <c r="AA19" s="80">
        <v>331637</v>
      </c>
      <c r="AB19" s="80">
        <v>372305</v>
      </c>
      <c r="AC19" s="80">
        <v>412973</v>
      </c>
      <c r="AD19" s="80">
        <v>453641</v>
      </c>
      <c r="AE19" s="188">
        <v>494309</v>
      </c>
    </row>
    <row r="20" spans="2:31" ht="33.75" thickBot="1" x14ac:dyDescent="0.3">
      <c r="B20" s="552"/>
      <c r="C20" s="422" t="s">
        <v>184</v>
      </c>
      <c r="D20" s="381">
        <v>25</v>
      </c>
      <c r="E20" s="409"/>
      <c r="F20" s="409"/>
      <c r="G20" s="409"/>
      <c r="H20" s="409"/>
      <c r="I20" s="409"/>
      <c r="J20" s="409"/>
      <c r="K20" s="409"/>
      <c r="L20" s="409"/>
      <c r="T20" s="561"/>
      <c r="U20" s="51"/>
      <c r="V20" s="187"/>
      <c r="W20" s="80"/>
      <c r="X20" s="80"/>
      <c r="Y20" s="80"/>
      <c r="Z20" s="80"/>
      <c r="AA20" s="80"/>
      <c r="AB20" s="80"/>
      <c r="AC20" s="80"/>
      <c r="AD20" s="80"/>
      <c r="AE20" s="188"/>
    </row>
    <row r="21" spans="2:31" ht="17.25" thickBot="1" x14ac:dyDescent="0.3">
      <c r="B21" s="236"/>
      <c r="D21" s="404"/>
      <c r="E21" s="207"/>
      <c r="F21" s="206"/>
      <c r="G21" s="206"/>
      <c r="H21" s="206"/>
      <c r="I21" s="205"/>
      <c r="J21" s="205"/>
      <c r="K21" s="205"/>
      <c r="L21" s="205"/>
      <c r="T21" s="561"/>
      <c r="U21" s="51">
        <f>U19+10</f>
        <v>70</v>
      </c>
      <c r="V21" s="187">
        <v>146236</v>
      </c>
      <c r="W21" s="80">
        <v>186904</v>
      </c>
      <c r="X21" s="80">
        <v>227572</v>
      </c>
      <c r="Y21" s="80">
        <v>268240</v>
      </c>
      <c r="Z21" s="80">
        <v>308908</v>
      </c>
      <c r="AA21" s="80">
        <v>349576</v>
      </c>
      <c r="AB21" s="80">
        <v>390244</v>
      </c>
      <c r="AC21" s="80">
        <v>430912</v>
      </c>
      <c r="AD21" s="80">
        <v>471580</v>
      </c>
      <c r="AE21" s="188">
        <v>512248</v>
      </c>
    </row>
    <row r="22" spans="2:31" ht="15" customHeight="1" x14ac:dyDescent="0.25">
      <c r="B22" s="544" t="s">
        <v>81</v>
      </c>
      <c r="C22" s="121" t="s">
        <v>16</v>
      </c>
      <c r="D22" s="89">
        <v>80000</v>
      </c>
      <c r="E22" s="547"/>
      <c r="F22" s="548"/>
      <c r="G22" s="548"/>
      <c r="H22" s="548"/>
      <c r="I22" s="548"/>
      <c r="J22" s="548"/>
      <c r="K22" s="205"/>
      <c r="L22" s="205"/>
      <c r="T22" s="561"/>
      <c r="U22" s="51">
        <f t="shared" si="1"/>
        <v>80</v>
      </c>
      <c r="V22" s="187">
        <v>164174</v>
      </c>
      <c r="W22" s="80">
        <v>204842</v>
      </c>
      <c r="X22" s="80">
        <v>245510</v>
      </c>
      <c r="Y22" s="80">
        <v>286178</v>
      </c>
      <c r="Z22" s="80">
        <v>326846</v>
      </c>
      <c r="AA22" s="80">
        <v>367514</v>
      </c>
      <c r="AB22" s="80">
        <v>408182</v>
      </c>
      <c r="AC22" s="80">
        <v>448850</v>
      </c>
      <c r="AD22" s="80">
        <v>489518</v>
      </c>
      <c r="AE22" s="188">
        <v>530186</v>
      </c>
    </row>
    <row r="23" spans="2:31" ht="17.25" thickBot="1" x14ac:dyDescent="0.3">
      <c r="B23" s="545"/>
      <c r="C23" s="118" t="s">
        <v>17</v>
      </c>
      <c r="D23" s="90">
        <v>51000</v>
      </c>
      <c r="E23" s="547"/>
      <c r="F23" s="548"/>
      <c r="G23" s="548"/>
      <c r="H23" s="548"/>
      <c r="I23" s="548"/>
      <c r="J23" s="548"/>
      <c r="K23" s="205"/>
      <c r="L23" s="205"/>
      <c r="T23" s="562"/>
      <c r="U23" s="181">
        <f t="shared" si="1"/>
        <v>90</v>
      </c>
      <c r="V23" s="191">
        <v>182112</v>
      </c>
      <c r="W23" s="192">
        <v>222780</v>
      </c>
      <c r="X23" s="192">
        <v>263448</v>
      </c>
      <c r="Y23" s="192">
        <v>304116</v>
      </c>
      <c r="Z23" s="192">
        <v>344784</v>
      </c>
      <c r="AA23" s="192">
        <v>385452</v>
      </c>
      <c r="AB23" s="192">
        <v>426120</v>
      </c>
      <c r="AC23" s="192">
        <v>466788</v>
      </c>
      <c r="AD23" s="192">
        <v>507456</v>
      </c>
      <c r="AE23" s="193">
        <v>548124</v>
      </c>
    </row>
    <row r="24" spans="2:31" ht="17.25" thickBot="1" x14ac:dyDescent="0.3">
      <c r="B24" s="545"/>
      <c r="C24" s="120" t="s">
        <v>85</v>
      </c>
      <c r="D24" s="92">
        <v>0.05</v>
      </c>
      <c r="E24" s="547"/>
      <c r="F24" s="548"/>
      <c r="G24" s="548"/>
      <c r="H24" s="548"/>
      <c r="I24" s="548"/>
      <c r="J24" s="548"/>
      <c r="K24" s="548"/>
      <c r="L24" s="548"/>
    </row>
    <row r="25" spans="2:31" ht="19.5" thickBot="1" x14ac:dyDescent="0.3">
      <c r="B25" s="546"/>
      <c r="C25" s="124" t="s">
        <v>86</v>
      </c>
      <c r="D25" s="93">
        <v>0.05</v>
      </c>
      <c r="E25" s="547"/>
      <c r="F25" s="548"/>
      <c r="G25" s="548"/>
      <c r="H25" s="548"/>
      <c r="I25" s="548"/>
      <c r="J25" s="548"/>
      <c r="K25" s="548"/>
      <c r="L25" s="548"/>
      <c r="T25" s="566" t="s">
        <v>148</v>
      </c>
      <c r="U25" s="567"/>
      <c r="V25" s="567"/>
      <c r="W25" s="567"/>
      <c r="X25" s="567"/>
      <c r="Y25" s="567"/>
      <c r="Z25" s="567"/>
      <c r="AA25" s="567"/>
      <c r="AB25" s="567"/>
      <c r="AC25" s="567"/>
      <c r="AD25" s="567"/>
      <c r="AE25" s="568"/>
    </row>
    <row r="26" spans="2:31" ht="17.25" thickBot="1" x14ac:dyDescent="0.3">
      <c r="B26" s="236"/>
      <c r="E26" s="208"/>
      <c r="F26" s="206"/>
      <c r="G26" s="206"/>
      <c r="H26" s="206"/>
      <c r="I26" s="205"/>
      <c r="J26" s="205"/>
      <c r="K26" s="205"/>
      <c r="L26" s="205"/>
      <c r="T26" s="177"/>
      <c r="U26" s="178"/>
      <c r="V26" s="557" t="s">
        <v>26</v>
      </c>
      <c r="W26" s="558"/>
      <c r="X26" s="558"/>
      <c r="Y26" s="558"/>
      <c r="Z26" s="558"/>
      <c r="AA26" s="558"/>
      <c r="AB26" s="558"/>
      <c r="AC26" s="558"/>
      <c r="AD26" s="558"/>
      <c r="AE26" s="559"/>
    </row>
    <row r="27" spans="2:31" ht="26.25" customHeight="1" thickBot="1" x14ac:dyDescent="0.3">
      <c r="B27" s="539" t="s">
        <v>84</v>
      </c>
      <c r="C27" s="121" t="s">
        <v>0</v>
      </c>
      <c r="D27" s="94">
        <v>7</v>
      </c>
      <c r="E27" s="513"/>
      <c r="F27" s="514"/>
      <c r="G27" s="514"/>
      <c r="H27" s="514"/>
      <c r="I27" s="514"/>
      <c r="J27" s="514"/>
      <c r="K27" s="514"/>
      <c r="L27" s="514"/>
      <c r="T27" s="179"/>
      <c r="U27" s="180">
        <f>C175</f>
        <v>0</v>
      </c>
      <c r="V27" s="342">
        <v>10</v>
      </c>
      <c r="W27" s="182">
        <f t="shared" ref="W27" si="2">V27+10</f>
        <v>20</v>
      </c>
      <c r="X27" s="182">
        <f t="shared" ref="X27:AE27" si="3">W27+10</f>
        <v>30</v>
      </c>
      <c r="Y27" s="182">
        <f t="shared" si="3"/>
        <v>40</v>
      </c>
      <c r="Z27" s="182">
        <f t="shared" si="3"/>
        <v>50</v>
      </c>
      <c r="AA27" s="182">
        <f t="shared" si="3"/>
        <v>60</v>
      </c>
      <c r="AB27" s="182">
        <f t="shared" si="3"/>
        <v>70</v>
      </c>
      <c r="AC27" s="182">
        <f t="shared" si="3"/>
        <v>80</v>
      </c>
      <c r="AD27" s="182">
        <f t="shared" si="3"/>
        <v>90</v>
      </c>
      <c r="AE27" s="183">
        <f t="shared" si="3"/>
        <v>100</v>
      </c>
    </row>
    <row r="28" spans="2:31" ht="26.25" customHeight="1" thickBot="1" x14ac:dyDescent="0.3">
      <c r="B28" s="540"/>
      <c r="C28" s="124" t="s">
        <v>1</v>
      </c>
      <c r="D28" s="95">
        <f>10/2.47105</f>
        <v>4.0468626697153036</v>
      </c>
      <c r="E28" s="513"/>
      <c r="F28" s="514"/>
      <c r="G28" s="514"/>
      <c r="H28" s="514"/>
      <c r="I28" s="514"/>
      <c r="J28" s="514"/>
      <c r="K28" s="514"/>
      <c r="L28" s="514"/>
      <c r="T28" s="560" t="s">
        <v>27</v>
      </c>
      <c r="U28" s="51">
        <v>10</v>
      </c>
      <c r="V28" s="320">
        <v>9.6515000000000004E-2</v>
      </c>
      <c r="W28" s="321">
        <v>0.14136000000000001</v>
      </c>
      <c r="X28" s="321">
        <v>0.1862075</v>
      </c>
      <c r="Y28" s="321">
        <v>0.23105249999999999</v>
      </c>
      <c r="Z28" s="321">
        <v>0.27589750000000002</v>
      </c>
      <c r="AA28" s="321">
        <v>0.32074249999999999</v>
      </c>
      <c r="AB28" s="321">
        <v>0.36559000000000003</v>
      </c>
      <c r="AC28" s="321">
        <v>0.41043499999999999</v>
      </c>
      <c r="AD28" s="321">
        <v>0.45528000000000002</v>
      </c>
      <c r="AE28" s="322">
        <v>0.50012500000000004</v>
      </c>
    </row>
    <row r="29" spans="2:31" ht="13.5" customHeight="1" thickBot="1" x14ac:dyDescent="0.3">
      <c r="B29" s="236"/>
      <c r="E29" s="208"/>
      <c r="F29" s="206"/>
      <c r="G29" s="206"/>
      <c r="H29" s="206"/>
      <c r="I29" s="205"/>
      <c r="J29" s="205"/>
      <c r="K29" s="205"/>
      <c r="L29" s="205"/>
      <c r="T29" s="561"/>
      <c r="U29" s="51">
        <f t="shared" ref="U29:U30" si="4">U28+10</f>
        <v>20</v>
      </c>
      <c r="V29" s="323">
        <v>0.198185</v>
      </c>
      <c r="W29" s="324">
        <v>0.24303</v>
      </c>
      <c r="X29" s="324">
        <v>0.28787750000000001</v>
      </c>
      <c r="Y29" s="324">
        <v>0.33272249999999998</v>
      </c>
      <c r="Z29" s="324">
        <v>0.3775675</v>
      </c>
      <c r="AA29" s="324">
        <v>0.42241250000000002</v>
      </c>
      <c r="AB29" s="324">
        <v>0.46726000000000001</v>
      </c>
      <c r="AC29" s="324">
        <v>0.51210500000000003</v>
      </c>
      <c r="AD29" s="324">
        <v>0.55694999999999995</v>
      </c>
      <c r="AE29" s="325">
        <v>0.60179499999999997</v>
      </c>
    </row>
    <row r="30" spans="2:31" ht="49.5" x14ac:dyDescent="0.25">
      <c r="B30" s="541" t="s">
        <v>82</v>
      </c>
      <c r="C30" s="429" t="s">
        <v>197</v>
      </c>
      <c r="D30" s="87">
        <v>1008</v>
      </c>
      <c r="E30" s="513"/>
      <c r="F30" s="514"/>
      <c r="G30" s="514"/>
      <c r="H30" s="514"/>
      <c r="I30" s="514"/>
      <c r="J30" s="514"/>
      <c r="K30" s="514"/>
      <c r="L30" s="514"/>
      <c r="T30" s="561"/>
      <c r="U30" s="51">
        <f t="shared" si="4"/>
        <v>30</v>
      </c>
      <c r="V30" s="326">
        <v>0.29985499999999998</v>
      </c>
      <c r="W30" s="327">
        <v>0.34470000000000001</v>
      </c>
      <c r="X30" s="327">
        <v>0.38954749999999999</v>
      </c>
      <c r="Y30" s="327">
        <v>0.43439250000000001</v>
      </c>
      <c r="Z30" s="327">
        <v>0.47923749999999998</v>
      </c>
      <c r="AA30" s="327">
        <v>0.52408250000000001</v>
      </c>
      <c r="AB30" s="327">
        <v>0.56893000000000005</v>
      </c>
      <c r="AC30" s="327">
        <v>0.61377499999999996</v>
      </c>
      <c r="AD30" s="327">
        <v>0.65861999999999998</v>
      </c>
      <c r="AE30" s="328">
        <v>0.70346500000000001</v>
      </c>
    </row>
    <row r="31" spans="2:31" ht="50.25" thickBot="1" x14ac:dyDescent="0.3">
      <c r="B31" s="542"/>
      <c r="C31" s="428" t="s">
        <v>198</v>
      </c>
      <c r="D31" s="96">
        <v>1000</v>
      </c>
      <c r="E31" s="513"/>
      <c r="F31" s="514"/>
      <c r="G31" s="514"/>
      <c r="H31" s="514"/>
      <c r="I31" s="514"/>
      <c r="J31" s="514"/>
      <c r="K31" s="514"/>
      <c r="L31" s="514"/>
      <c r="T31" s="561"/>
      <c r="U31" s="51">
        <f t="shared" ref="U31:U36" si="5">U30+10</f>
        <v>40</v>
      </c>
      <c r="V31" s="323">
        <v>0.40152500000000002</v>
      </c>
      <c r="W31" s="324">
        <v>0.44636999999999999</v>
      </c>
      <c r="X31" s="324">
        <v>0.49121749999999997</v>
      </c>
      <c r="Y31" s="324">
        <v>0.5360625</v>
      </c>
      <c r="Z31" s="324">
        <v>0.58090750000000002</v>
      </c>
      <c r="AA31" s="324">
        <v>0.62575250000000004</v>
      </c>
      <c r="AB31" s="324">
        <v>0.67059999999999997</v>
      </c>
      <c r="AC31" s="324">
        <v>0.715445</v>
      </c>
      <c r="AD31" s="324">
        <v>0.76029000000000002</v>
      </c>
      <c r="AE31" s="325">
        <v>0.80513500000000005</v>
      </c>
    </row>
    <row r="32" spans="2:31" ht="17.25" thickBot="1" x14ac:dyDescent="0.3">
      <c r="B32" s="236"/>
      <c r="E32" s="208"/>
      <c r="F32" s="206"/>
      <c r="G32" s="206"/>
      <c r="H32" s="206"/>
      <c r="I32" s="205"/>
      <c r="J32" s="205"/>
      <c r="K32" s="205"/>
      <c r="L32" s="205"/>
      <c r="T32" s="561"/>
      <c r="U32" s="51">
        <f t="shared" si="5"/>
        <v>50</v>
      </c>
      <c r="V32" s="323">
        <v>0.50319499999999995</v>
      </c>
      <c r="W32" s="324">
        <v>0.54803999999999997</v>
      </c>
      <c r="X32" s="324">
        <v>0.59288750000000001</v>
      </c>
      <c r="Y32" s="324">
        <v>0.63773250000000004</v>
      </c>
      <c r="Z32" s="324">
        <v>0.68257749999999995</v>
      </c>
      <c r="AA32" s="324">
        <v>0.72742249999999997</v>
      </c>
      <c r="AB32" s="324">
        <v>0.77227000000000001</v>
      </c>
      <c r="AC32" s="324">
        <v>0.81711500000000004</v>
      </c>
      <c r="AD32" s="324">
        <v>0.86195999999999995</v>
      </c>
      <c r="AE32" s="325">
        <v>0.90680499999999997</v>
      </c>
    </row>
    <row r="33" spans="2:31" ht="33" x14ac:dyDescent="0.25">
      <c r="B33" s="531" t="s">
        <v>83</v>
      </c>
      <c r="C33" s="121" t="s">
        <v>150</v>
      </c>
      <c r="D33" s="89">
        <v>12</v>
      </c>
      <c r="E33" s="513"/>
      <c r="F33" s="514"/>
      <c r="G33" s="514"/>
      <c r="H33" s="514"/>
      <c r="I33" s="514"/>
      <c r="J33" s="514"/>
      <c r="K33" s="514"/>
      <c r="L33" s="514"/>
      <c r="T33" s="561"/>
      <c r="U33" s="51">
        <f t="shared" si="5"/>
        <v>60</v>
      </c>
      <c r="V33" s="323">
        <v>0.60486499999999999</v>
      </c>
      <c r="W33" s="324">
        <v>0.64971000000000001</v>
      </c>
      <c r="X33" s="324">
        <v>0.69455750000000005</v>
      </c>
      <c r="Y33" s="324">
        <v>0.73940249999999996</v>
      </c>
      <c r="Z33" s="324">
        <v>0.78424749999999999</v>
      </c>
      <c r="AA33" s="324">
        <v>0.82909250000000001</v>
      </c>
      <c r="AB33" s="324">
        <v>0.87394000000000005</v>
      </c>
      <c r="AC33" s="324">
        <v>0.91878499999999996</v>
      </c>
      <c r="AD33" s="324">
        <v>0.96362999999999999</v>
      </c>
      <c r="AE33" s="325">
        <v>1.008475</v>
      </c>
    </row>
    <row r="34" spans="2:31" ht="33" x14ac:dyDescent="0.25">
      <c r="B34" s="532"/>
      <c r="C34" s="118" t="s">
        <v>151</v>
      </c>
      <c r="D34" s="90">
        <v>12</v>
      </c>
      <c r="E34" s="513"/>
      <c r="F34" s="514"/>
      <c r="G34" s="514"/>
      <c r="H34" s="514"/>
      <c r="I34" s="514"/>
      <c r="J34" s="514"/>
      <c r="K34" s="514"/>
      <c r="L34" s="514"/>
      <c r="T34" s="561"/>
      <c r="U34" s="51">
        <f t="shared" si="5"/>
        <v>70</v>
      </c>
      <c r="V34" s="323">
        <v>0.70653500000000002</v>
      </c>
      <c r="W34" s="324">
        <v>0.75138000000000005</v>
      </c>
      <c r="X34" s="324">
        <v>0.79622749999999998</v>
      </c>
      <c r="Y34" s="324">
        <v>0.8410725</v>
      </c>
      <c r="Z34" s="324">
        <v>0.88591750000000002</v>
      </c>
      <c r="AA34" s="324">
        <v>0.93076250000000005</v>
      </c>
      <c r="AB34" s="324">
        <v>0.97560999999999998</v>
      </c>
      <c r="AC34" s="324">
        <v>1.0204549999999999</v>
      </c>
      <c r="AD34" s="324">
        <v>1.0652999999999999</v>
      </c>
      <c r="AE34" s="325">
        <v>1.1101449999999999</v>
      </c>
    </row>
    <row r="35" spans="2:31" ht="33" x14ac:dyDescent="0.25">
      <c r="B35" s="532"/>
      <c r="C35" s="120" t="s">
        <v>152</v>
      </c>
      <c r="D35" s="90">
        <v>240</v>
      </c>
      <c r="E35" s="513"/>
      <c r="F35" s="514"/>
      <c r="G35" s="514"/>
      <c r="H35" s="514"/>
      <c r="I35" s="514"/>
      <c r="J35" s="514"/>
      <c r="K35" s="514"/>
      <c r="L35" s="514"/>
      <c r="T35" s="561"/>
      <c r="U35" s="51">
        <f t="shared" si="5"/>
        <v>80</v>
      </c>
      <c r="V35" s="323">
        <v>0.80820499999999995</v>
      </c>
      <c r="W35" s="324">
        <v>0.85304999999999997</v>
      </c>
      <c r="X35" s="324">
        <v>0.89789750000000002</v>
      </c>
      <c r="Y35" s="324">
        <v>0.94274250000000004</v>
      </c>
      <c r="Z35" s="324">
        <v>0.98758749999999995</v>
      </c>
      <c r="AA35" s="324">
        <v>1.0324325000000001</v>
      </c>
      <c r="AB35" s="324">
        <v>1.07728</v>
      </c>
      <c r="AC35" s="324">
        <v>1.122125</v>
      </c>
      <c r="AD35" s="324">
        <v>1.1669700000000001</v>
      </c>
      <c r="AE35" s="325">
        <v>1.2118150000000001</v>
      </c>
    </row>
    <row r="36" spans="2:31" ht="33.75" thickBot="1" x14ac:dyDescent="0.3">
      <c r="B36" s="533"/>
      <c r="C36" s="124" t="s">
        <v>153</v>
      </c>
      <c r="D36" s="97">
        <v>150</v>
      </c>
      <c r="E36" s="513"/>
      <c r="F36" s="514"/>
      <c r="G36" s="514"/>
      <c r="H36" s="514"/>
      <c r="I36" s="514"/>
      <c r="J36" s="514"/>
      <c r="K36" s="514"/>
      <c r="L36" s="514"/>
      <c r="T36" s="562"/>
      <c r="U36" s="181">
        <f t="shared" si="5"/>
        <v>90</v>
      </c>
      <c r="V36" s="329">
        <v>0.90987499999999999</v>
      </c>
      <c r="W36" s="330">
        <v>0.95472000000000001</v>
      </c>
      <c r="X36" s="330">
        <v>0.99956750000000005</v>
      </c>
      <c r="Y36" s="330">
        <v>1.0444125</v>
      </c>
      <c r="Z36" s="330">
        <v>1.0892575</v>
      </c>
      <c r="AA36" s="330">
        <v>1.1341025</v>
      </c>
      <c r="AB36" s="330">
        <v>1.1789499999999999</v>
      </c>
      <c r="AC36" s="330">
        <v>1.223795</v>
      </c>
      <c r="AD36" s="330">
        <v>1.26864</v>
      </c>
      <c r="AE36" s="331">
        <v>1.313485</v>
      </c>
    </row>
    <row r="37" spans="2:31" ht="17.25" thickBot="1" x14ac:dyDescent="0.3">
      <c r="B37" s="236"/>
      <c r="C37" s="98"/>
      <c r="D37" s="91"/>
      <c r="E37" s="203"/>
      <c r="F37" s="202"/>
      <c r="G37" s="202"/>
      <c r="H37" s="202"/>
      <c r="I37" s="201"/>
      <c r="J37" s="201"/>
      <c r="K37" s="201"/>
      <c r="L37" s="201"/>
    </row>
    <row r="38" spans="2:31" ht="20.25" customHeight="1" thickBot="1" x14ac:dyDescent="0.3">
      <c r="B38" s="534" t="s">
        <v>103</v>
      </c>
      <c r="C38" s="121" t="s">
        <v>23</v>
      </c>
      <c r="D38" s="99">
        <v>0.11</v>
      </c>
      <c r="E38" s="513"/>
      <c r="F38" s="514"/>
      <c r="G38" s="514"/>
      <c r="H38" s="514"/>
      <c r="I38" s="514"/>
      <c r="J38" s="204"/>
      <c r="K38" s="204"/>
      <c r="L38" s="204"/>
      <c r="T38" s="569" t="s">
        <v>149</v>
      </c>
      <c r="U38" s="570"/>
      <c r="V38" s="570"/>
      <c r="W38" s="570"/>
      <c r="X38" s="570"/>
      <c r="Y38" s="570"/>
      <c r="Z38" s="570"/>
      <c r="AA38" s="570"/>
      <c r="AB38" s="570"/>
      <c r="AC38" s="570"/>
      <c r="AD38" s="570"/>
      <c r="AE38" s="571"/>
    </row>
    <row r="39" spans="2:31" ht="20.25" customHeight="1" thickBot="1" x14ac:dyDescent="0.3">
      <c r="B39" s="535"/>
      <c r="C39" s="118" t="s">
        <v>105</v>
      </c>
      <c r="D39" s="102">
        <v>0.1</v>
      </c>
      <c r="E39" s="513"/>
      <c r="F39" s="514"/>
      <c r="G39" s="514"/>
      <c r="H39" s="514"/>
      <c r="I39" s="514"/>
      <c r="J39" s="204"/>
      <c r="K39" s="204"/>
      <c r="L39" s="204"/>
      <c r="T39" s="177"/>
      <c r="U39" s="178"/>
      <c r="V39" s="557" t="s">
        <v>26</v>
      </c>
      <c r="W39" s="558"/>
      <c r="X39" s="558"/>
      <c r="Y39" s="558"/>
      <c r="Z39" s="558"/>
      <c r="AA39" s="558"/>
      <c r="AB39" s="558"/>
      <c r="AC39" s="558"/>
      <c r="AD39" s="558"/>
      <c r="AE39" s="559"/>
    </row>
    <row r="40" spans="2:31" ht="20.25" customHeight="1" thickBot="1" x14ac:dyDescent="0.3">
      <c r="B40" s="535"/>
      <c r="C40" s="120" t="s">
        <v>104</v>
      </c>
      <c r="D40" s="90">
        <v>5</v>
      </c>
      <c r="E40" s="513"/>
      <c r="F40" s="514"/>
      <c r="G40" s="514"/>
      <c r="H40" s="514"/>
      <c r="I40" s="514"/>
      <c r="J40" s="204"/>
      <c r="K40" s="204"/>
      <c r="L40" s="204"/>
      <c r="T40" s="179"/>
      <c r="U40" s="180">
        <f>C174</f>
        <v>0</v>
      </c>
      <c r="V40" s="342">
        <v>10</v>
      </c>
      <c r="W40" s="182">
        <f t="shared" ref="W40" si="6">V40+10</f>
        <v>20</v>
      </c>
      <c r="X40" s="182">
        <f t="shared" ref="X40:AE40" si="7">W40+10</f>
        <v>30</v>
      </c>
      <c r="Y40" s="182">
        <f t="shared" si="7"/>
        <v>40</v>
      </c>
      <c r="Z40" s="182">
        <f t="shared" si="7"/>
        <v>50</v>
      </c>
      <c r="AA40" s="182">
        <f t="shared" si="7"/>
        <v>60</v>
      </c>
      <c r="AB40" s="182">
        <f t="shared" si="7"/>
        <v>70</v>
      </c>
      <c r="AC40" s="182">
        <f t="shared" si="7"/>
        <v>80</v>
      </c>
      <c r="AD40" s="182">
        <f t="shared" si="7"/>
        <v>90</v>
      </c>
      <c r="AE40" s="183">
        <f t="shared" si="7"/>
        <v>100</v>
      </c>
    </row>
    <row r="41" spans="2:31" ht="20.25" customHeight="1" thickBot="1" x14ac:dyDescent="0.3">
      <c r="B41" s="536"/>
      <c r="C41" s="124" t="s">
        <v>102</v>
      </c>
      <c r="D41" s="97">
        <v>25000</v>
      </c>
      <c r="E41" s="513"/>
      <c r="F41" s="514"/>
      <c r="G41" s="514"/>
      <c r="H41" s="514"/>
      <c r="I41" s="514"/>
      <c r="J41" s="204"/>
      <c r="K41" s="204"/>
      <c r="L41" s="204"/>
      <c r="T41" s="560" t="s">
        <v>27</v>
      </c>
      <c r="U41" s="51">
        <v>10</v>
      </c>
      <c r="V41" s="332">
        <v>10.361083769362276</v>
      </c>
      <c r="W41" s="333">
        <v>7.0741369552914541</v>
      </c>
      <c r="X41" s="333">
        <v>5.3703529664487197</v>
      </c>
      <c r="Y41" s="333">
        <v>4.3280206879388885</v>
      </c>
      <c r="Z41" s="333">
        <v>3.6245344738535143</v>
      </c>
      <c r="AA41" s="333">
        <v>3.1177658090212552</v>
      </c>
      <c r="AB41" s="333">
        <v>2.7353045761645558</v>
      </c>
      <c r="AC41" s="333">
        <v>2.4364393874791381</v>
      </c>
      <c r="AD41" s="333">
        <v>2.1964505359339306</v>
      </c>
      <c r="AE41" s="334">
        <v>1.9995001249687578</v>
      </c>
    </row>
    <row r="42" spans="2:31" ht="20.25" customHeight="1" thickBot="1" x14ac:dyDescent="0.3">
      <c r="B42" s="237"/>
      <c r="C42" s="98"/>
      <c r="D42" s="91"/>
      <c r="E42" s="203"/>
      <c r="F42" s="202"/>
      <c r="G42" s="202"/>
      <c r="H42" s="202"/>
      <c r="I42" s="201"/>
      <c r="J42" s="201"/>
      <c r="K42" s="201"/>
      <c r="L42" s="201"/>
      <c r="T42" s="561"/>
      <c r="U42" s="51">
        <f t="shared" ref="U42:U43" si="8">U41+10</f>
        <v>20</v>
      </c>
      <c r="V42" s="335">
        <v>5.0457905492343009</v>
      </c>
      <c r="W42" s="73">
        <v>4.114718347529112</v>
      </c>
      <c r="X42" s="73">
        <v>3.4736997507620431</v>
      </c>
      <c r="Y42" s="73">
        <v>3.0055075926635562</v>
      </c>
      <c r="Z42" s="73">
        <v>2.6485330437603873</v>
      </c>
      <c r="AA42" s="73">
        <v>2.3673541857781197</v>
      </c>
      <c r="AB42" s="73">
        <v>2.1401361126567648</v>
      </c>
      <c r="AC42" s="73">
        <v>1.9527245389129182</v>
      </c>
      <c r="AD42" s="73">
        <v>1.7954933117874137</v>
      </c>
      <c r="AE42" s="336">
        <v>1.6616954278450302</v>
      </c>
    </row>
    <row r="43" spans="2:31" ht="17.25" thickBot="1" x14ac:dyDescent="0.3">
      <c r="B43" s="519" t="s">
        <v>141</v>
      </c>
      <c r="C43" s="122" t="s">
        <v>87</v>
      </c>
      <c r="D43" s="100">
        <v>50</v>
      </c>
      <c r="E43" s="522"/>
      <c r="F43" s="523"/>
      <c r="G43" s="523"/>
      <c r="H43" s="204"/>
      <c r="I43" s="204"/>
      <c r="J43" s="204"/>
      <c r="K43" s="204"/>
      <c r="L43" s="204"/>
      <c r="T43" s="561"/>
      <c r="U43" s="51">
        <f t="shared" si="8"/>
        <v>30</v>
      </c>
      <c r="V43" s="337">
        <v>3.3349452235247035</v>
      </c>
      <c r="W43" s="75">
        <v>2.901073397156948</v>
      </c>
      <c r="X43" s="75">
        <v>2.5670810363306145</v>
      </c>
      <c r="Y43" s="75">
        <v>2.3020655282952629</v>
      </c>
      <c r="Z43" s="75">
        <v>2.0866480607214584</v>
      </c>
      <c r="AA43" s="75">
        <v>1.9080965306034832</v>
      </c>
      <c r="AB43" s="75">
        <v>1.7576854797602517</v>
      </c>
      <c r="AC43" s="75">
        <v>1.6292615372082604</v>
      </c>
      <c r="AD43" s="75">
        <v>1.5183261972002065</v>
      </c>
      <c r="AE43" s="338">
        <v>1.4215348311572005</v>
      </c>
    </row>
    <row r="44" spans="2:31" ht="7.5" customHeight="1" thickBot="1" x14ac:dyDescent="0.3">
      <c r="B44" s="520"/>
      <c r="C44" s="98"/>
      <c r="D44" s="101"/>
      <c r="E44" s="101"/>
      <c r="F44" s="101"/>
      <c r="G44" s="101"/>
      <c r="H44" s="101"/>
      <c r="I44" s="101"/>
      <c r="T44" s="561"/>
      <c r="U44" s="51">
        <f t="shared" ref="U44:U49" si="9">U43+10</f>
        <v>40</v>
      </c>
      <c r="V44" s="335">
        <v>2.4905049498785878</v>
      </c>
      <c r="W44" s="73">
        <v>2.2402939265631652</v>
      </c>
      <c r="X44" s="73">
        <v>2.0357580908660622</v>
      </c>
      <c r="Y44" s="73">
        <v>1.8654541214876996</v>
      </c>
      <c r="Z44" s="73">
        <v>1.7214444640497841</v>
      </c>
      <c r="AA44" s="73">
        <v>1.598075916596418</v>
      </c>
      <c r="AB44" s="73">
        <v>1.4912019087384432</v>
      </c>
      <c r="AC44" s="73">
        <v>1.3977314818050304</v>
      </c>
      <c r="AD44" s="73">
        <v>1.3152875876310355</v>
      </c>
      <c r="AE44" s="336">
        <v>1.2420277344793109</v>
      </c>
    </row>
    <row r="45" spans="2:31" x14ac:dyDescent="0.25">
      <c r="B45" s="520"/>
      <c r="C45" s="119" t="s">
        <v>91</v>
      </c>
      <c r="D45" s="524" t="s">
        <v>8</v>
      </c>
      <c r="E45" s="524"/>
      <c r="F45" s="524" t="s">
        <v>9</v>
      </c>
      <c r="G45" s="524"/>
      <c r="H45" s="524" t="s">
        <v>10</v>
      </c>
      <c r="I45" s="525"/>
      <c r="T45" s="561"/>
      <c r="U45" s="51">
        <f t="shared" si="9"/>
        <v>50</v>
      </c>
      <c r="V45" s="335">
        <v>1.9873011456791105</v>
      </c>
      <c r="W45" s="73">
        <v>1.8246843296109774</v>
      </c>
      <c r="X45" s="73">
        <v>1.686660622799435</v>
      </c>
      <c r="Y45" s="73">
        <v>1.5680555718894678</v>
      </c>
      <c r="Z45" s="73">
        <v>1.4650351059037252</v>
      </c>
      <c r="AA45" s="73">
        <v>1.3747168942395924</v>
      </c>
      <c r="AB45" s="73">
        <v>1.2948839136571406</v>
      </c>
      <c r="AC45" s="73">
        <v>1.2238179448425253</v>
      </c>
      <c r="AD45" s="73">
        <v>1.1601466425356166</v>
      </c>
      <c r="AE45" s="336">
        <v>1.1027729225136607</v>
      </c>
    </row>
    <row r="46" spans="2:31" x14ac:dyDescent="0.25">
      <c r="B46" s="520"/>
      <c r="C46" s="120" t="s">
        <v>88</v>
      </c>
      <c r="D46" s="126" t="s">
        <v>2</v>
      </c>
      <c r="E46" s="126" t="s">
        <v>3</v>
      </c>
      <c r="F46" s="126" t="s">
        <v>2</v>
      </c>
      <c r="G46" s="126" t="s">
        <v>3</v>
      </c>
      <c r="H46" s="126" t="s">
        <v>2</v>
      </c>
      <c r="I46" s="127" t="s">
        <v>3</v>
      </c>
      <c r="T46" s="561"/>
      <c r="U46" s="51">
        <f t="shared" si="9"/>
        <v>60</v>
      </c>
      <c r="V46" s="335">
        <v>1.6532614715680358</v>
      </c>
      <c r="W46" s="73">
        <v>1.5391482353665482</v>
      </c>
      <c r="X46" s="73">
        <v>1.4397656061593174</v>
      </c>
      <c r="Y46" s="73">
        <v>1.3524433579816135</v>
      </c>
      <c r="Z46" s="73">
        <v>1.2751076669036241</v>
      </c>
      <c r="AA46" s="73">
        <v>1.2061380364675836</v>
      </c>
      <c r="AB46" s="73">
        <v>1.1442433118978419</v>
      </c>
      <c r="AC46" s="73">
        <v>1.088393911524459</v>
      </c>
      <c r="AD46" s="73">
        <v>1.0377427020744476</v>
      </c>
      <c r="AE46" s="336">
        <v>0.99159622201839415</v>
      </c>
    </row>
    <row r="47" spans="2:31" x14ac:dyDescent="0.25">
      <c r="B47" s="520"/>
      <c r="C47" s="118" t="s">
        <v>140</v>
      </c>
      <c r="D47" s="529">
        <v>0.4</v>
      </c>
      <c r="E47" s="529"/>
      <c r="F47" s="529">
        <v>0.4</v>
      </c>
      <c r="G47" s="529"/>
      <c r="H47" s="529">
        <v>0.4</v>
      </c>
      <c r="I47" s="530"/>
      <c r="J47" s="513"/>
      <c r="K47" s="514"/>
      <c r="L47" s="514"/>
      <c r="M47" s="514"/>
      <c r="N47" s="514"/>
      <c r="O47" s="514"/>
      <c r="P47" s="514"/>
      <c r="Q47" s="514"/>
      <c r="R47" s="514"/>
      <c r="S47" s="514"/>
      <c r="T47" s="561"/>
      <c r="U47" s="51">
        <f t="shared" si="9"/>
        <v>70</v>
      </c>
      <c r="V47" s="335">
        <v>1.4153580502027501</v>
      </c>
      <c r="W47" s="73">
        <v>1.3308845058425829</v>
      </c>
      <c r="X47" s="73">
        <v>1.2559224593473599</v>
      </c>
      <c r="Y47" s="73">
        <v>1.188958145700876</v>
      </c>
      <c r="Z47" s="73">
        <v>1.1287732774214303</v>
      </c>
      <c r="AA47" s="73">
        <v>1.0743879346234941</v>
      </c>
      <c r="AB47" s="73">
        <v>1.024999743750064</v>
      </c>
      <c r="AC47" s="73">
        <v>0.97995502006457902</v>
      </c>
      <c r="AD47" s="73">
        <v>0.93870271285084017</v>
      </c>
      <c r="AE47" s="336">
        <v>0.9007832310193713</v>
      </c>
    </row>
    <row r="48" spans="2:31" x14ac:dyDescent="0.25">
      <c r="B48" s="520"/>
      <c r="C48" s="120" t="s">
        <v>90</v>
      </c>
      <c r="D48" s="103">
        <v>1</v>
      </c>
      <c r="E48" s="103">
        <v>1</v>
      </c>
      <c r="F48" s="103">
        <v>1</v>
      </c>
      <c r="G48" s="103">
        <v>1</v>
      </c>
      <c r="H48" s="103">
        <v>1</v>
      </c>
      <c r="I48" s="104">
        <v>1</v>
      </c>
      <c r="J48" s="513"/>
      <c r="K48" s="514"/>
      <c r="L48" s="514"/>
      <c r="M48" s="514"/>
      <c r="N48" s="514"/>
      <c r="O48" s="514"/>
      <c r="P48" s="514"/>
      <c r="Q48" s="514"/>
      <c r="R48" s="514"/>
      <c r="S48" s="514"/>
      <c r="T48" s="561"/>
      <c r="U48" s="51">
        <f t="shared" si="9"/>
        <v>80</v>
      </c>
      <c r="V48" s="335">
        <v>1.2373098409438199</v>
      </c>
      <c r="W48" s="73">
        <v>1.1722642283570717</v>
      </c>
      <c r="X48" s="73">
        <v>1.1137128681169064</v>
      </c>
      <c r="Y48" s="73">
        <v>1.0607350363434342</v>
      </c>
      <c r="Z48" s="73">
        <v>1.0125685065880239</v>
      </c>
      <c r="AA48" s="73">
        <v>0.96858632404539768</v>
      </c>
      <c r="AB48" s="73">
        <v>0.9282637754344274</v>
      </c>
      <c r="AC48" s="73">
        <v>0.89116631391333412</v>
      </c>
      <c r="AD48" s="73">
        <v>0.85692005792779591</v>
      </c>
      <c r="AE48" s="336">
        <v>0.82520846828930161</v>
      </c>
    </row>
    <row r="49" spans="2:31" ht="17.25" thickBot="1" x14ac:dyDescent="0.3">
      <c r="B49" s="521"/>
      <c r="C49" s="124" t="s">
        <v>93</v>
      </c>
      <c r="D49" s="105">
        <v>2.25</v>
      </c>
      <c r="E49" s="105">
        <v>2.25</v>
      </c>
      <c r="F49" s="105">
        <v>7.2999999999999995E-2</v>
      </c>
      <c r="G49" s="105">
        <v>7.2999999999999995E-2</v>
      </c>
      <c r="H49" s="105">
        <f>400*0.005</f>
        <v>2</v>
      </c>
      <c r="I49" s="106">
        <f>400*0.005</f>
        <v>2</v>
      </c>
      <c r="J49" s="513"/>
      <c r="K49" s="514"/>
      <c r="L49" s="514"/>
      <c r="M49" s="514"/>
      <c r="N49" s="514"/>
      <c r="O49" s="514"/>
      <c r="P49" s="514"/>
      <c r="Q49" s="514"/>
      <c r="R49" s="514"/>
      <c r="S49" s="514"/>
      <c r="T49" s="562"/>
      <c r="U49" s="181">
        <f t="shared" si="9"/>
        <v>90</v>
      </c>
      <c r="V49" s="339">
        <v>1.0990520675917022</v>
      </c>
      <c r="W49" s="340">
        <v>1.0474275180157533</v>
      </c>
      <c r="X49" s="340">
        <v>1.0004326871371869</v>
      </c>
      <c r="Y49" s="340">
        <v>0.95747609301880243</v>
      </c>
      <c r="Z49" s="340">
        <v>0.91805656605531749</v>
      </c>
      <c r="AA49" s="340">
        <v>0.8817545151342141</v>
      </c>
      <c r="AB49" s="340">
        <v>0.84821239238305268</v>
      </c>
      <c r="AC49" s="340">
        <v>0.81713032002908981</v>
      </c>
      <c r="AD49" s="340">
        <v>0.78824568041367138</v>
      </c>
      <c r="AE49" s="341">
        <v>0.76133339931556132</v>
      </c>
    </row>
    <row r="50" spans="2:31" ht="17.25" thickBot="1" x14ac:dyDescent="0.3"/>
    <row r="51" spans="2:31" ht="15.75" customHeight="1" thickBot="1" x14ac:dyDescent="0.3">
      <c r="B51" s="519" t="s">
        <v>142</v>
      </c>
      <c r="C51" s="120" t="s">
        <v>4</v>
      </c>
      <c r="D51" s="103">
        <v>50</v>
      </c>
      <c r="E51" s="522"/>
      <c r="F51" s="523"/>
      <c r="G51" s="523"/>
      <c r="T51" s="554" t="s">
        <v>147</v>
      </c>
      <c r="U51" s="555"/>
      <c r="V51" s="555"/>
      <c r="W51" s="555"/>
      <c r="X51" s="555"/>
      <c r="Y51" s="555"/>
      <c r="Z51" s="555"/>
      <c r="AA51" s="555"/>
      <c r="AB51" s="555"/>
      <c r="AC51" s="555"/>
      <c r="AD51" s="555"/>
      <c r="AE51" s="556"/>
    </row>
    <row r="52" spans="2:31" s="115" customFormat="1" ht="18" customHeight="1" thickBot="1" x14ac:dyDescent="0.3">
      <c r="B52" s="520"/>
      <c r="C52" s="98"/>
      <c r="D52" s="107"/>
      <c r="T52" s="177"/>
      <c r="U52" s="178"/>
      <c r="V52" s="557" t="s">
        <v>26</v>
      </c>
      <c r="W52" s="558"/>
      <c r="X52" s="558"/>
      <c r="Y52" s="558"/>
      <c r="Z52" s="558"/>
      <c r="AA52" s="558"/>
      <c r="AB52" s="558"/>
      <c r="AC52" s="558"/>
      <c r="AD52" s="558"/>
      <c r="AE52" s="559"/>
    </row>
    <row r="53" spans="2:31" ht="17.25" thickBot="1" x14ac:dyDescent="0.3">
      <c r="B53" s="520"/>
      <c r="C53" s="108" t="s">
        <v>91</v>
      </c>
      <c r="D53" s="524" t="s">
        <v>15</v>
      </c>
      <c r="E53" s="524"/>
      <c r="F53" s="524" t="s">
        <v>11</v>
      </c>
      <c r="G53" s="525"/>
      <c r="T53" s="179"/>
      <c r="U53" s="180">
        <f>C176</f>
        <v>0</v>
      </c>
      <c r="V53" s="342">
        <v>10</v>
      </c>
      <c r="W53" s="182">
        <f t="shared" ref="W53" si="10">V53+10</f>
        <v>20</v>
      </c>
      <c r="X53" s="182">
        <f t="shared" ref="X53:AE53" si="11">W53+10</f>
        <v>30</v>
      </c>
      <c r="Y53" s="182">
        <f t="shared" si="11"/>
        <v>40</v>
      </c>
      <c r="Z53" s="182">
        <f t="shared" si="11"/>
        <v>50</v>
      </c>
      <c r="AA53" s="182">
        <f t="shared" si="11"/>
        <v>60</v>
      </c>
      <c r="AB53" s="182">
        <f t="shared" si="11"/>
        <v>70</v>
      </c>
      <c r="AC53" s="182">
        <f t="shared" si="11"/>
        <v>80</v>
      </c>
      <c r="AD53" s="182">
        <f t="shared" si="11"/>
        <v>90</v>
      </c>
      <c r="AE53" s="183">
        <f t="shared" si="11"/>
        <v>100</v>
      </c>
    </row>
    <row r="54" spans="2:31" x14ac:dyDescent="0.25">
      <c r="B54" s="520"/>
      <c r="C54" s="123" t="s">
        <v>88</v>
      </c>
      <c r="D54" s="126" t="s">
        <v>2</v>
      </c>
      <c r="E54" s="126" t="s">
        <v>3</v>
      </c>
      <c r="F54" s="126" t="s">
        <v>2</v>
      </c>
      <c r="G54" s="127" t="s">
        <v>3</v>
      </c>
      <c r="T54" s="560" t="s">
        <v>27</v>
      </c>
      <c r="U54" s="51">
        <v>10</v>
      </c>
      <c r="V54" s="184">
        <v>-155531.80988998432</v>
      </c>
      <c r="W54" s="185">
        <v>-60359.698344172662</v>
      </c>
      <c r="X54" s="185">
        <v>34817.718816063403</v>
      </c>
      <c r="Y54" s="185">
        <v>129989.83036187507</v>
      </c>
      <c r="Z54" s="185">
        <v>225161.94190768673</v>
      </c>
      <c r="AA54" s="185">
        <v>320334.05345349835</v>
      </c>
      <c r="AB54" s="185">
        <v>415511.47061373451</v>
      </c>
      <c r="AC54" s="185">
        <v>510683.5821595462</v>
      </c>
      <c r="AD54" s="185">
        <v>605855.69370535773</v>
      </c>
      <c r="AE54" s="186">
        <v>701027.80525116948</v>
      </c>
    </row>
    <row r="55" spans="2:31" x14ac:dyDescent="0.25">
      <c r="B55" s="520"/>
      <c r="C55" s="109" t="s">
        <v>89</v>
      </c>
      <c r="D55" s="526">
        <v>0.4</v>
      </c>
      <c r="E55" s="527"/>
      <c r="F55" s="526">
        <v>0.4</v>
      </c>
      <c r="G55" s="528"/>
      <c r="H55" s="513"/>
      <c r="I55" s="514"/>
      <c r="J55" s="514"/>
      <c r="K55" s="514"/>
      <c r="L55" s="514"/>
      <c r="M55" s="514"/>
      <c r="N55" s="514"/>
      <c r="O55" s="514"/>
      <c r="P55" s="514"/>
      <c r="Q55" s="514"/>
      <c r="R55" s="514"/>
      <c r="S55" s="514"/>
      <c r="T55" s="561"/>
      <c r="U55" s="51">
        <f t="shared" ref="U55:U56" si="12">U54+10</f>
        <v>20</v>
      </c>
      <c r="V55" s="187">
        <v>60236.917523610748</v>
      </c>
      <c r="W55" s="80">
        <v>155409.02906942234</v>
      </c>
      <c r="X55" s="80">
        <v>250586.44622965853</v>
      </c>
      <c r="Y55" s="80">
        <v>345758.5577754702</v>
      </c>
      <c r="Z55" s="80">
        <v>440930.66932128178</v>
      </c>
      <c r="AA55" s="80">
        <v>536102.78086709336</v>
      </c>
      <c r="AB55" s="80">
        <v>631280.19802732964</v>
      </c>
      <c r="AC55" s="80">
        <v>726452.30957314128</v>
      </c>
      <c r="AD55" s="80">
        <v>821624.42111895292</v>
      </c>
      <c r="AE55" s="188">
        <v>916796.53266476444</v>
      </c>
    </row>
    <row r="56" spans="2:31" x14ac:dyDescent="0.25">
      <c r="B56" s="520"/>
      <c r="C56" s="123" t="s">
        <v>90</v>
      </c>
      <c r="D56" s="110">
        <v>0.3</v>
      </c>
      <c r="E56" s="110">
        <v>0.3</v>
      </c>
      <c r="F56" s="110">
        <v>0.3</v>
      </c>
      <c r="G56" s="111">
        <v>0.3</v>
      </c>
      <c r="H56" s="513"/>
      <c r="I56" s="514"/>
      <c r="J56" s="514"/>
      <c r="K56" s="514"/>
      <c r="L56" s="514"/>
      <c r="M56" s="514"/>
      <c r="N56" s="514"/>
      <c r="O56" s="514"/>
      <c r="P56" s="514"/>
      <c r="Q56" s="514"/>
      <c r="R56" s="514"/>
      <c r="S56" s="514"/>
      <c r="T56" s="561"/>
      <c r="U56" s="51">
        <f t="shared" si="12"/>
        <v>30</v>
      </c>
      <c r="V56" s="189">
        <v>276005.64493720577</v>
      </c>
      <c r="W56" s="81">
        <v>371177.75648301747</v>
      </c>
      <c r="X56" s="81">
        <v>466355.17364325357</v>
      </c>
      <c r="Y56" s="81">
        <v>561527.28518906527</v>
      </c>
      <c r="Z56" s="81">
        <v>656699.39673487679</v>
      </c>
      <c r="AA56" s="81">
        <v>751871.50828068843</v>
      </c>
      <c r="AB56" s="81">
        <v>847048.92544092459</v>
      </c>
      <c r="AC56" s="81">
        <v>942221.03698673623</v>
      </c>
      <c r="AD56" s="81">
        <v>1037393.1485325479</v>
      </c>
      <c r="AE56" s="190">
        <v>1132565.2600783596</v>
      </c>
    </row>
    <row r="57" spans="2:31" ht="17.25" thickBot="1" x14ac:dyDescent="0.3">
      <c r="B57" s="521"/>
      <c r="C57" s="112" t="s">
        <v>92</v>
      </c>
      <c r="D57" s="113">
        <v>4</v>
      </c>
      <c r="E57" s="113">
        <v>4</v>
      </c>
      <c r="F57" s="113">
        <v>4</v>
      </c>
      <c r="G57" s="114">
        <v>4</v>
      </c>
      <c r="H57" s="513"/>
      <c r="I57" s="514"/>
      <c r="J57" s="514"/>
      <c r="K57" s="514"/>
      <c r="L57" s="514"/>
      <c r="M57" s="514"/>
      <c r="N57" s="514"/>
      <c r="O57" s="514"/>
      <c r="P57" s="514"/>
      <c r="Q57" s="514"/>
      <c r="R57" s="514"/>
      <c r="S57" s="514"/>
      <c r="T57" s="561"/>
      <c r="U57" s="51">
        <f t="shared" ref="U57:U62" si="13">U56+10</f>
        <v>40</v>
      </c>
      <c r="V57" s="187">
        <v>491774.37235080078</v>
      </c>
      <c r="W57" s="80">
        <v>586946.48389661242</v>
      </c>
      <c r="X57" s="80">
        <v>682123.90105684858</v>
      </c>
      <c r="Y57" s="80">
        <v>777296.01260266022</v>
      </c>
      <c r="Z57" s="80">
        <v>872468.12414847186</v>
      </c>
      <c r="AA57" s="80">
        <v>967640.23569428374</v>
      </c>
      <c r="AB57" s="80">
        <v>1062817.6528545197</v>
      </c>
      <c r="AC57" s="80">
        <v>1157989.7644003313</v>
      </c>
      <c r="AD57" s="80">
        <v>1253161.8759461429</v>
      </c>
      <c r="AE57" s="188">
        <v>1348333.9874919546</v>
      </c>
    </row>
    <row r="58" spans="2:31" ht="17.25" thickBot="1" x14ac:dyDescent="0.3">
      <c r="C58" s="98"/>
      <c r="D58" s="88"/>
      <c r="E58" s="88"/>
      <c r="F58" s="88"/>
      <c r="G58" s="88"/>
      <c r="H58" s="88"/>
      <c r="I58" s="88"/>
      <c r="T58" s="561"/>
      <c r="U58" s="51">
        <f t="shared" si="13"/>
        <v>50</v>
      </c>
      <c r="V58" s="187">
        <v>707543.09976439597</v>
      </c>
      <c r="W58" s="80">
        <v>802715.21131020761</v>
      </c>
      <c r="X58" s="80">
        <v>897892.62847044365</v>
      </c>
      <c r="Y58" s="80">
        <v>993064.74001625529</v>
      </c>
      <c r="Z58" s="80">
        <v>1088236.8515620669</v>
      </c>
      <c r="AA58" s="80">
        <v>1183408.9631078786</v>
      </c>
      <c r="AB58" s="80">
        <v>1278586.3802681146</v>
      </c>
      <c r="AC58" s="80">
        <v>1373758.4918139265</v>
      </c>
      <c r="AD58" s="80">
        <v>1468930.6033597379</v>
      </c>
      <c r="AE58" s="188">
        <v>1564102.71490555</v>
      </c>
    </row>
    <row r="59" spans="2:31" ht="32.25" customHeight="1" thickBot="1" x14ac:dyDescent="0.3">
      <c r="B59" s="515" t="s">
        <v>143</v>
      </c>
      <c r="C59" s="146" t="s">
        <v>109</v>
      </c>
      <c r="D59" s="213" t="s">
        <v>110</v>
      </c>
      <c r="E59" s="209" t="s">
        <v>123</v>
      </c>
      <c r="F59" s="210" t="s">
        <v>124</v>
      </c>
      <c r="H59" s="88"/>
      <c r="I59" s="88"/>
      <c r="T59" s="561"/>
      <c r="U59" s="51">
        <f t="shared" si="13"/>
        <v>60</v>
      </c>
      <c r="V59" s="187">
        <v>923311.82717799104</v>
      </c>
      <c r="W59" s="80">
        <v>1018483.9387238025</v>
      </c>
      <c r="X59" s="80">
        <v>1113661.3558840388</v>
      </c>
      <c r="Y59" s="80">
        <v>1208833.4674298505</v>
      </c>
      <c r="Z59" s="80">
        <v>1304005.5789756621</v>
      </c>
      <c r="AA59" s="80">
        <v>1399177.6905214738</v>
      </c>
      <c r="AB59" s="80">
        <v>1494355.1076817098</v>
      </c>
      <c r="AC59" s="80">
        <v>1589527.2192275214</v>
      </c>
      <c r="AD59" s="80">
        <v>1684699.3307733329</v>
      </c>
      <c r="AE59" s="188">
        <v>1779871.4423191445</v>
      </c>
    </row>
    <row r="60" spans="2:31" ht="17.25" customHeight="1" x14ac:dyDescent="0.25">
      <c r="B60" s="516"/>
      <c r="C60" s="508" t="s">
        <v>8</v>
      </c>
      <c r="D60" s="158" t="s">
        <v>2</v>
      </c>
      <c r="E60" s="159">
        <f>D43*D49*D48</f>
        <v>112.5</v>
      </c>
      <c r="F60" s="160">
        <f>$D$43/$D$27*D48</f>
        <v>7.1428571428571432</v>
      </c>
      <c r="G60" s="498"/>
      <c r="H60" s="499"/>
      <c r="I60" s="499"/>
      <c r="J60" s="499"/>
      <c r="K60" s="499"/>
      <c r="L60" s="499"/>
      <c r="M60" s="499"/>
      <c r="N60" s="499"/>
      <c r="O60" s="499"/>
      <c r="T60" s="561"/>
      <c r="U60" s="51">
        <f t="shared" si="13"/>
        <v>70</v>
      </c>
      <c r="V60" s="187">
        <v>1139080.5545915861</v>
      </c>
      <c r="W60" s="80">
        <v>1234252.6661373978</v>
      </c>
      <c r="X60" s="80">
        <v>1329430.0832976338</v>
      </c>
      <c r="Y60" s="80">
        <v>1424602.1948434452</v>
      </c>
      <c r="Z60" s="80">
        <v>1519774.3063892573</v>
      </c>
      <c r="AA60" s="80">
        <v>1614946.417935069</v>
      </c>
      <c r="AB60" s="80">
        <v>1710123.8350953048</v>
      </c>
      <c r="AC60" s="80">
        <v>1805295.9466411164</v>
      </c>
      <c r="AD60" s="80">
        <v>1900468.0581869283</v>
      </c>
      <c r="AE60" s="188">
        <v>1995640.1697327397</v>
      </c>
    </row>
    <row r="61" spans="2:31" ht="17.25" customHeight="1" thickBot="1" x14ac:dyDescent="0.3">
      <c r="B61" s="516"/>
      <c r="C61" s="509"/>
      <c r="D61" s="161" t="s">
        <v>3</v>
      </c>
      <c r="E61" s="162">
        <f>$D$43*D47*E49*E48</f>
        <v>45</v>
      </c>
      <c r="F61" s="163">
        <f>$D$43/$D$28*E48</f>
        <v>12.355249999999998</v>
      </c>
      <c r="G61" s="498"/>
      <c r="H61" s="499"/>
      <c r="I61" s="499"/>
      <c r="J61" s="499"/>
      <c r="K61" s="499"/>
      <c r="L61" s="499"/>
      <c r="M61" s="499"/>
      <c r="N61" s="499"/>
      <c r="O61" s="499"/>
      <c r="T61" s="561"/>
      <c r="U61" s="51">
        <f t="shared" si="13"/>
        <v>80</v>
      </c>
      <c r="V61" s="187">
        <v>1354849.2820051811</v>
      </c>
      <c r="W61" s="80">
        <v>1450021.3935509929</v>
      </c>
      <c r="X61" s="80">
        <v>1545198.810711229</v>
      </c>
      <c r="Y61" s="80">
        <v>1640370.9222570404</v>
      </c>
      <c r="Z61" s="80">
        <v>1735543.0338028523</v>
      </c>
      <c r="AA61" s="80">
        <v>1830715.1453486639</v>
      </c>
      <c r="AB61" s="80">
        <v>1925892.5625089</v>
      </c>
      <c r="AC61" s="80">
        <v>2021064.6740547116</v>
      </c>
      <c r="AD61" s="80">
        <v>2116236.7856005235</v>
      </c>
      <c r="AE61" s="188">
        <v>2211408.8971463344</v>
      </c>
    </row>
    <row r="62" spans="2:31" ht="17.25" customHeight="1" thickBot="1" x14ac:dyDescent="0.3">
      <c r="B62" s="516"/>
      <c r="C62" s="518" t="s">
        <v>9</v>
      </c>
      <c r="D62" s="171" t="s">
        <v>2</v>
      </c>
      <c r="E62" s="172">
        <f>D43*F49*F48</f>
        <v>3.65</v>
      </c>
      <c r="F62" s="173">
        <f>$D$43/$D$27*F48</f>
        <v>7.1428571428571432</v>
      </c>
      <c r="G62" s="211"/>
      <c r="H62" s="212"/>
      <c r="I62" s="212"/>
      <c r="J62" s="212"/>
      <c r="K62" s="212"/>
      <c r="L62" s="212"/>
      <c r="M62" s="212"/>
      <c r="N62" s="212"/>
      <c r="O62" s="212"/>
      <c r="T62" s="562"/>
      <c r="U62" s="181">
        <f t="shared" si="13"/>
        <v>90</v>
      </c>
      <c r="V62" s="191">
        <v>1570618.009418776</v>
      </c>
      <c r="W62" s="192">
        <v>1665790.1209645879</v>
      </c>
      <c r="X62" s="192">
        <v>1760967.5381248239</v>
      </c>
      <c r="Y62" s="192">
        <v>1856139.6496706354</v>
      </c>
      <c r="Z62" s="192">
        <v>1951311.7612164475</v>
      </c>
      <c r="AA62" s="192">
        <v>2046483.8727622589</v>
      </c>
      <c r="AB62" s="192">
        <v>2141661.2899224954</v>
      </c>
      <c r="AC62" s="192">
        <v>2236833.4014683068</v>
      </c>
      <c r="AD62" s="192">
        <v>2332005.5130141177</v>
      </c>
      <c r="AE62" s="193">
        <v>2427177.6245599296</v>
      </c>
    </row>
    <row r="63" spans="2:31" ht="17.25" customHeight="1" thickBot="1" x14ac:dyDescent="0.3">
      <c r="B63" s="516"/>
      <c r="C63" s="518"/>
      <c r="D63" s="174" t="s">
        <v>3</v>
      </c>
      <c r="E63" s="175">
        <f>$D$43*F47*G49*G48</f>
        <v>1.46</v>
      </c>
      <c r="F63" s="176">
        <f>$D$43/$D$28*G48</f>
        <v>12.355249999999998</v>
      </c>
      <c r="G63" s="211"/>
      <c r="H63" s="212"/>
      <c r="I63" s="212"/>
      <c r="J63" s="212"/>
      <c r="K63" s="212"/>
      <c r="L63" s="212"/>
      <c r="M63" s="212"/>
      <c r="N63" s="212"/>
      <c r="O63" s="212"/>
    </row>
    <row r="64" spans="2:31" ht="17.25" customHeight="1" x14ac:dyDescent="0.25">
      <c r="B64" s="516"/>
      <c r="C64" s="508" t="s">
        <v>10</v>
      </c>
      <c r="D64" s="158" t="s">
        <v>2</v>
      </c>
      <c r="E64" s="159">
        <f>D43*H49*H48</f>
        <v>100</v>
      </c>
      <c r="F64" s="219">
        <v>0</v>
      </c>
      <c r="G64" s="211"/>
      <c r="H64" s="212"/>
      <c r="I64" s="212"/>
      <c r="J64" s="212"/>
      <c r="K64" s="212"/>
      <c r="L64" s="212"/>
      <c r="M64" s="212"/>
      <c r="N64" s="212"/>
      <c r="O64" s="212"/>
    </row>
    <row r="65" spans="2:18" ht="17.25" customHeight="1" thickBot="1" x14ac:dyDescent="0.3">
      <c r="B65" s="516"/>
      <c r="C65" s="509"/>
      <c r="D65" s="164" t="s">
        <v>3</v>
      </c>
      <c r="E65" s="165">
        <f>$D$43*H47*I49*I48</f>
        <v>40</v>
      </c>
      <c r="F65" s="220">
        <v>0</v>
      </c>
      <c r="G65" s="211"/>
      <c r="H65" s="212"/>
      <c r="I65" s="212"/>
      <c r="J65" s="212"/>
      <c r="K65" s="212"/>
      <c r="L65" s="212"/>
      <c r="M65" s="212"/>
      <c r="N65" s="212"/>
      <c r="O65" s="212"/>
    </row>
    <row r="66" spans="2:18" ht="17.25" customHeight="1" x14ac:dyDescent="0.25">
      <c r="B66" s="516"/>
      <c r="C66" s="518" t="s">
        <v>15</v>
      </c>
      <c r="D66" s="171" t="s">
        <v>2</v>
      </c>
      <c r="E66" s="172">
        <f>D51*D56*D57</f>
        <v>60</v>
      </c>
      <c r="F66" s="173">
        <f>$D$51/$D$27*D57</f>
        <v>28.571428571428573</v>
      </c>
      <c r="G66" s="211"/>
      <c r="H66" s="212"/>
      <c r="I66" s="212"/>
      <c r="J66" s="212"/>
      <c r="K66" s="212"/>
      <c r="L66" s="212"/>
      <c r="M66" s="212"/>
      <c r="N66" s="212"/>
      <c r="O66" s="212"/>
    </row>
    <row r="67" spans="2:18" ht="17.25" customHeight="1" thickBot="1" x14ac:dyDescent="0.3">
      <c r="B67" s="516"/>
      <c r="C67" s="518"/>
      <c r="D67" s="174" t="s">
        <v>3</v>
      </c>
      <c r="E67" s="175">
        <f>$D$51*D55*E56*E57</f>
        <v>24</v>
      </c>
      <c r="F67" s="176">
        <f>$D$51/$D$28*E57</f>
        <v>49.420999999999992</v>
      </c>
      <c r="G67" s="211"/>
      <c r="H67" s="212"/>
      <c r="I67" s="212"/>
      <c r="J67" s="212"/>
      <c r="K67" s="212"/>
      <c r="L67" s="212"/>
      <c r="M67" s="212"/>
      <c r="N67" s="212"/>
      <c r="O67" s="212"/>
    </row>
    <row r="68" spans="2:18" ht="17.25" customHeight="1" x14ac:dyDescent="0.25">
      <c r="B68" s="516"/>
      <c r="C68" s="508" t="s">
        <v>11</v>
      </c>
      <c r="D68" s="158" t="s">
        <v>2</v>
      </c>
      <c r="E68" s="159">
        <f>D51*F56*F57</f>
        <v>60</v>
      </c>
      <c r="F68" s="160">
        <f>$D$51/$D$27*F57</f>
        <v>28.571428571428573</v>
      </c>
      <c r="G68" s="211"/>
      <c r="H68" s="212"/>
      <c r="I68" s="212"/>
      <c r="J68" s="212"/>
      <c r="K68" s="212"/>
      <c r="L68" s="212"/>
      <c r="M68" s="212"/>
      <c r="N68" s="212"/>
      <c r="O68" s="212"/>
    </row>
    <row r="69" spans="2:18" ht="17.25" customHeight="1" thickBot="1" x14ac:dyDescent="0.3">
      <c r="B69" s="517"/>
      <c r="C69" s="509"/>
      <c r="D69" s="166" t="s">
        <v>3</v>
      </c>
      <c r="E69" s="162">
        <f>$D$51*F55*G56*G57</f>
        <v>24</v>
      </c>
      <c r="F69" s="163">
        <f>$D$51/$D$28*G57</f>
        <v>49.420999999999992</v>
      </c>
      <c r="G69" s="211"/>
      <c r="H69" s="212"/>
      <c r="I69" s="212"/>
      <c r="J69" s="212"/>
      <c r="K69" s="212"/>
      <c r="L69" s="212"/>
      <c r="M69" s="212"/>
      <c r="N69" s="212"/>
      <c r="O69" s="212"/>
    </row>
    <row r="70" spans="2:18" ht="17.25" customHeight="1" thickBot="1" x14ac:dyDescent="0.3">
      <c r="B70" s="237"/>
      <c r="C70" s="98"/>
      <c r="D70" s="107"/>
      <c r="F70" s="107"/>
      <c r="G70" s="107"/>
      <c r="H70" s="88"/>
    </row>
    <row r="71" spans="2:18" ht="27.75" customHeight="1" thickBot="1" x14ac:dyDescent="0.3">
      <c r="B71" s="510" t="s">
        <v>94</v>
      </c>
      <c r="C71" s="216" t="s">
        <v>109</v>
      </c>
      <c r="D71" s="217" t="s">
        <v>110</v>
      </c>
      <c r="E71" s="214" t="s">
        <v>95</v>
      </c>
      <c r="F71" s="214" t="s">
        <v>96</v>
      </c>
      <c r="G71" s="215" t="s">
        <v>111</v>
      </c>
    </row>
    <row r="72" spans="2:18" ht="15" customHeight="1" x14ac:dyDescent="0.25">
      <c r="B72" s="511"/>
      <c r="C72" s="504" t="s">
        <v>8</v>
      </c>
      <c r="D72" s="158" t="s">
        <v>2</v>
      </c>
      <c r="E72" s="167">
        <f>E60*D13</f>
        <v>2531.25</v>
      </c>
      <c r="F72" s="168">
        <f t="shared" ref="F72:F81" si="14">F60*$D$10</f>
        <v>1785.7142857142858</v>
      </c>
      <c r="G72" s="147">
        <f t="shared" ref="G72:G81" si="15">SUM(E72:F72)</f>
        <v>4316.9642857142862</v>
      </c>
      <c r="H72" s="498"/>
      <c r="I72" s="499"/>
      <c r="J72" s="499"/>
      <c r="K72" s="499"/>
      <c r="L72" s="499"/>
      <c r="M72" s="499"/>
      <c r="N72" s="499"/>
      <c r="O72" s="499"/>
      <c r="P72" s="218"/>
      <c r="Q72" s="218"/>
      <c r="R72" s="218"/>
    </row>
    <row r="73" spans="2:18" ht="15" customHeight="1" thickBot="1" x14ac:dyDescent="0.3">
      <c r="B73" s="511"/>
      <c r="C73" s="505"/>
      <c r="D73" s="161" t="s">
        <v>3</v>
      </c>
      <c r="E73" s="169">
        <f>E61*D13</f>
        <v>1012.5</v>
      </c>
      <c r="F73" s="170">
        <f t="shared" si="14"/>
        <v>3088.8124999999995</v>
      </c>
      <c r="G73" s="148">
        <f t="shared" si="15"/>
        <v>4101.3125</v>
      </c>
      <c r="H73" s="498"/>
      <c r="I73" s="499"/>
      <c r="J73" s="499"/>
      <c r="K73" s="499"/>
      <c r="L73" s="499"/>
      <c r="M73" s="499"/>
      <c r="N73" s="499"/>
      <c r="O73" s="499"/>
      <c r="P73" s="218"/>
      <c r="Q73" s="218"/>
      <c r="R73" s="218"/>
    </row>
    <row r="74" spans="2:18" ht="14.25" customHeight="1" x14ac:dyDescent="0.25">
      <c r="B74" s="511"/>
      <c r="C74" s="506" t="s">
        <v>9</v>
      </c>
      <c r="D74" s="140" t="s">
        <v>2</v>
      </c>
      <c r="E74" s="143">
        <f>E62*D14</f>
        <v>131.4</v>
      </c>
      <c r="F74" s="144">
        <f t="shared" si="14"/>
        <v>1785.7142857142858</v>
      </c>
      <c r="G74" s="147">
        <f t="shared" si="15"/>
        <v>1917.1142857142859</v>
      </c>
      <c r="H74" s="498"/>
      <c r="I74" s="499"/>
      <c r="J74" s="499"/>
      <c r="K74" s="499"/>
      <c r="L74" s="499"/>
      <c r="M74" s="499"/>
      <c r="N74" s="499"/>
      <c r="O74" s="499"/>
    </row>
    <row r="75" spans="2:18" ht="15" customHeight="1" thickBot="1" x14ac:dyDescent="0.3">
      <c r="B75" s="511"/>
      <c r="C75" s="507"/>
      <c r="D75" s="139" t="s">
        <v>3</v>
      </c>
      <c r="E75" s="141">
        <f>E63*D14</f>
        <v>52.56</v>
      </c>
      <c r="F75" s="142">
        <f t="shared" si="14"/>
        <v>3088.8124999999995</v>
      </c>
      <c r="G75" s="148">
        <f t="shared" si="15"/>
        <v>3141.3724999999995</v>
      </c>
      <c r="H75" s="498"/>
      <c r="I75" s="499"/>
      <c r="J75" s="499"/>
      <c r="K75" s="499"/>
      <c r="L75" s="499"/>
      <c r="M75" s="499"/>
      <c r="N75" s="499"/>
      <c r="O75" s="499"/>
    </row>
    <row r="76" spans="2:18" ht="14.25" customHeight="1" x14ac:dyDescent="0.25">
      <c r="B76" s="511"/>
      <c r="C76" s="504" t="s">
        <v>125</v>
      </c>
      <c r="D76" s="158" t="s">
        <v>2</v>
      </c>
      <c r="E76" s="167">
        <f>E64*D15</f>
        <v>2200</v>
      </c>
      <c r="F76" s="168">
        <f t="shared" si="14"/>
        <v>0</v>
      </c>
      <c r="G76" s="147">
        <f t="shared" si="15"/>
        <v>2200</v>
      </c>
      <c r="H76" s="498"/>
      <c r="I76" s="499"/>
      <c r="J76" s="499"/>
      <c r="K76" s="499"/>
      <c r="L76" s="499"/>
      <c r="M76" s="499"/>
      <c r="N76" s="499"/>
      <c r="O76" s="499"/>
    </row>
    <row r="77" spans="2:18" ht="15" customHeight="1" thickBot="1" x14ac:dyDescent="0.3">
      <c r="B77" s="511"/>
      <c r="C77" s="505"/>
      <c r="D77" s="161" t="s">
        <v>3</v>
      </c>
      <c r="E77" s="169">
        <f>E65*D15</f>
        <v>880</v>
      </c>
      <c r="F77" s="170">
        <f t="shared" si="14"/>
        <v>0</v>
      </c>
      <c r="G77" s="148">
        <f t="shared" si="15"/>
        <v>880</v>
      </c>
      <c r="H77" s="498"/>
      <c r="I77" s="499"/>
      <c r="J77" s="499"/>
      <c r="K77" s="499"/>
      <c r="L77" s="499"/>
      <c r="M77" s="499"/>
      <c r="N77" s="499"/>
      <c r="O77" s="499"/>
    </row>
    <row r="78" spans="2:18" ht="14.25" customHeight="1" x14ac:dyDescent="0.25">
      <c r="B78" s="511"/>
      <c r="C78" s="506" t="s">
        <v>15</v>
      </c>
      <c r="D78" s="140" t="s">
        <v>2</v>
      </c>
      <c r="E78" s="143">
        <f>E66*D16</f>
        <v>660</v>
      </c>
      <c r="F78" s="144">
        <f t="shared" si="14"/>
        <v>7142.8571428571431</v>
      </c>
      <c r="G78" s="147">
        <f t="shared" si="15"/>
        <v>7802.8571428571431</v>
      </c>
      <c r="H78" s="498"/>
      <c r="I78" s="499"/>
      <c r="J78" s="499"/>
      <c r="K78" s="499"/>
      <c r="L78" s="499"/>
      <c r="M78" s="499"/>
      <c r="N78" s="499"/>
      <c r="O78" s="499"/>
    </row>
    <row r="79" spans="2:18" ht="15" customHeight="1" thickBot="1" x14ac:dyDescent="0.3">
      <c r="B79" s="511"/>
      <c r="C79" s="507"/>
      <c r="D79" s="139" t="s">
        <v>3</v>
      </c>
      <c r="E79" s="141">
        <f>E67*D16</f>
        <v>264</v>
      </c>
      <c r="F79" s="142">
        <f t="shared" si="14"/>
        <v>12355.249999999998</v>
      </c>
      <c r="G79" s="148">
        <f t="shared" si="15"/>
        <v>12619.249999999998</v>
      </c>
      <c r="H79" s="498"/>
      <c r="I79" s="499"/>
      <c r="J79" s="499"/>
      <c r="K79" s="499"/>
      <c r="L79" s="499"/>
      <c r="M79" s="499"/>
      <c r="N79" s="499"/>
      <c r="O79" s="499"/>
    </row>
    <row r="80" spans="2:18" ht="14.25" customHeight="1" x14ac:dyDescent="0.25">
      <c r="B80" s="511"/>
      <c r="C80" s="504" t="s">
        <v>11</v>
      </c>
      <c r="D80" s="158" t="s">
        <v>2</v>
      </c>
      <c r="E80" s="167">
        <f>E68*D17</f>
        <v>3840</v>
      </c>
      <c r="F80" s="168">
        <f t="shared" si="14"/>
        <v>7142.8571428571431</v>
      </c>
      <c r="G80" s="147">
        <f t="shared" si="15"/>
        <v>10982.857142857143</v>
      </c>
      <c r="H80" s="498"/>
      <c r="I80" s="499"/>
      <c r="J80" s="499"/>
      <c r="K80" s="499"/>
      <c r="L80" s="499"/>
      <c r="M80" s="499"/>
      <c r="N80" s="499"/>
      <c r="O80" s="499"/>
    </row>
    <row r="81" spans="2:17" ht="15" customHeight="1" thickBot="1" x14ac:dyDescent="0.3">
      <c r="B81" s="512"/>
      <c r="C81" s="505"/>
      <c r="D81" s="161" t="s">
        <v>3</v>
      </c>
      <c r="E81" s="169">
        <f>E69*D17</f>
        <v>1536</v>
      </c>
      <c r="F81" s="170">
        <f t="shared" si="14"/>
        <v>12355.249999999998</v>
      </c>
      <c r="G81" s="148">
        <f t="shared" si="15"/>
        <v>13891.249999999998</v>
      </c>
      <c r="H81" s="498"/>
      <c r="I81" s="499"/>
      <c r="J81" s="499"/>
      <c r="K81" s="499"/>
      <c r="L81" s="499"/>
      <c r="M81" s="499"/>
      <c r="N81" s="499"/>
      <c r="O81" s="499"/>
    </row>
    <row r="82" spans="2:17" ht="17.25" thickBot="1" x14ac:dyDescent="0.3">
      <c r="D82" s="125"/>
      <c r="E82" s="125"/>
      <c r="F82" s="125"/>
      <c r="G82" s="125"/>
      <c r="H82" s="145"/>
    </row>
    <row r="83" spans="2:17" ht="19.5" customHeight="1" thickBot="1" x14ac:dyDescent="0.3">
      <c r="C83" s="134"/>
      <c r="D83" s="135" t="s">
        <v>2</v>
      </c>
      <c r="E83" s="136" t="s">
        <v>3</v>
      </c>
      <c r="F83" s="478" t="s">
        <v>99</v>
      </c>
      <c r="G83" s="478"/>
      <c r="H83" s="479"/>
    </row>
    <row r="84" spans="2:17" ht="28.5" customHeight="1" x14ac:dyDescent="0.25">
      <c r="B84" s="494" t="s">
        <v>94</v>
      </c>
      <c r="C84" s="149" t="s">
        <v>97</v>
      </c>
      <c r="D84" s="194">
        <f>E72+E74+E76+E78+E80</f>
        <v>9362.65</v>
      </c>
      <c r="E84" s="195">
        <f>E73+E75+E77+E79+E81</f>
        <v>3745.06</v>
      </c>
      <c r="F84" s="497" t="str">
        <f>IF(E84&gt;D84,_xlfn.CONCAT("Increase of ",ABS(ROUND((E84-D84)/D84*100,0)),"% in herbicide costs with optical sprayer"),_xlfn.CONCAT("Decrease of ",ABS(ROUND((E84-D84)/D84*100,0)),"% in herbicide costs with optical sprayer"))</f>
        <v>Decrease of 60% in herbicide costs with optical sprayer</v>
      </c>
      <c r="G84" s="497"/>
      <c r="H84" s="472"/>
      <c r="I84" s="498"/>
      <c r="J84" s="499"/>
      <c r="K84" s="499"/>
      <c r="L84" s="499"/>
      <c r="M84" s="499"/>
      <c r="N84" s="499"/>
      <c r="O84" s="499"/>
    </row>
    <row r="85" spans="2:17" ht="28.5" customHeight="1" thickBot="1" x14ac:dyDescent="0.3">
      <c r="B85" s="495"/>
      <c r="C85" s="221" t="s">
        <v>98</v>
      </c>
      <c r="D85" s="222">
        <f>F72+F74+F76+F78+F80</f>
        <v>17857.142857142855</v>
      </c>
      <c r="E85" s="223">
        <f>F73+F75+F77+F79+F81</f>
        <v>30888.124999999993</v>
      </c>
      <c r="F85" s="500" t="str">
        <f>IF(E85&gt;D85,_xlfn.CONCAT("Increase of ",ABS(ROUND((E85-D85)/D85*100,0)),"% in tractor cost for herbicide applications with optical sprayer"),_xlfn.CONCAT("Decrease of ",ABS(ROUND((E85-D85)/D85*100,0)),"% in tractor cost for herbicide applications with optical sprayer"))</f>
        <v>Increase of 73% in tractor cost for herbicide applications with optical sprayer</v>
      </c>
      <c r="G85" s="500"/>
      <c r="H85" s="501"/>
      <c r="I85" s="458"/>
      <c r="J85" s="459"/>
      <c r="K85" s="459"/>
      <c r="L85" s="459"/>
      <c r="M85" s="459"/>
      <c r="N85" s="459"/>
      <c r="O85" s="459"/>
    </row>
    <row r="86" spans="2:17" ht="28.5" customHeight="1" thickTop="1" thickBot="1" x14ac:dyDescent="0.3">
      <c r="B86" s="496"/>
      <c r="C86" s="224" t="s">
        <v>19</v>
      </c>
      <c r="D86" s="225">
        <f>SUM(D84:D85)</f>
        <v>27219.792857142857</v>
      </c>
      <c r="E86" s="226">
        <f>SUM(E84:E85)</f>
        <v>34633.18499999999</v>
      </c>
      <c r="F86" s="502" t="str">
        <f>IF(E86&gt;D86,_xlfn.CONCAT("Increase of ", ABS(ROUND((E86-D86)/D86*100,0)),"% ($", TEXT(ROUND(E86-D86,0),"#,##0"),"/year)"," in herbicide applications cost with optical sprayer"),_xlfn.CONCAT("Decrease of ",ABS(ROUND((E86-D86)/D86*100,0)),"% ($", TEXT(ROUND(E86-D86,0),"#,##0"),"/year)","in herbicide applications cost with optical sprayer"))</f>
        <v>Increase of 27% ($7,413/year) in herbicide applications cost with optical sprayer</v>
      </c>
      <c r="G86" s="502"/>
      <c r="H86" s="503"/>
      <c r="I86" s="458"/>
      <c r="J86" s="459"/>
      <c r="K86" s="459"/>
      <c r="L86" s="459"/>
      <c r="M86" s="459"/>
      <c r="N86" s="459"/>
      <c r="O86" s="459"/>
    </row>
    <row r="87" spans="2:17" ht="28.5" customHeight="1" thickBot="1" x14ac:dyDescent="0.3">
      <c r="B87" s="98"/>
      <c r="C87" s="98"/>
      <c r="D87" s="129"/>
      <c r="E87" s="129"/>
      <c r="F87" s="129"/>
      <c r="G87" s="128"/>
      <c r="H87" s="128"/>
      <c r="K87" s="116"/>
      <c r="L87" s="116"/>
    </row>
    <row r="88" spans="2:17" ht="18.75" customHeight="1" thickBot="1" x14ac:dyDescent="0.3">
      <c r="D88" s="196" t="s">
        <v>2</v>
      </c>
      <c r="E88" s="136" t="s">
        <v>3</v>
      </c>
      <c r="F88" s="478" t="s">
        <v>99</v>
      </c>
      <c r="G88" s="478"/>
      <c r="H88" s="479"/>
    </row>
    <row r="89" spans="2:17" ht="31.5" customHeight="1" x14ac:dyDescent="0.25">
      <c r="B89" s="480" t="s">
        <v>108</v>
      </c>
      <c r="C89" s="149" t="s">
        <v>13</v>
      </c>
      <c r="D89" s="197">
        <f>D43*D33+D51*D35</f>
        <v>12600</v>
      </c>
      <c r="E89" s="150">
        <f>D43*D34+D51*D36</f>
        <v>8100</v>
      </c>
      <c r="F89" s="482" t="str">
        <f>IF(E90&gt;D90,_xlfn.CONCAT("Increase of ",ABS(ROUND((E90-D90)/D90*100,0)),,"% ($", TEXT(ROUND(ABS(E90-D90),0),"#,##0"),"/year)", "in hand weeding cost with optical sprayer"),_xlfn.CONCAT("Decrease of ",ABS(ROUND((E90-D90)/D90*100,0)), ,"% ($", TEXT(ABS(ROUND(E90-D90,0)),"#,##0"),"/year)", "in hand weeding cost with optical sprayer"))</f>
        <v>Decrease of 36% ($101,250/year)in hand weeding cost with optical sprayer</v>
      </c>
      <c r="G89" s="483"/>
      <c r="H89" s="484"/>
      <c r="I89" s="458"/>
      <c r="J89" s="459"/>
      <c r="K89" s="459"/>
      <c r="L89" s="459"/>
      <c r="M89" s="459"/>
      <c r="N89" s="459"/>
      <c r="O89" s="459"/>
    </row>
    <row r="90" spans="2:17" ht="33" customHeight="1" thickBot="1" x14ac:dyDescent="0.3">
      <c r="B90" s="481"/>
      <c r="C90" s="133" t="s">
        <v>20</v>
      </c>
      <c r="D90" s="198">
        <f>D89*D13</f>
        <v>283500</v>
      </c>
      <c r="E90" s="132">
        <f>E89*D13</f>
        <v>182250</v>
      </c>
      <c r="F90" s="485"/>
      <c r="G90" s="486"/>
      <c r="H90" s="487"/>
      <c r="I90" s="458"/>
      <c r="J90" s="459"/>
      <c r="K90" s="459"/>
      <c r="L90" s="459"/>
      <c r="M90" s="459"/>
      <c r="N90" s="459"/>
      <c r="O90" s="459"/>
    </row>
    <row r="91" spans="2:17" ht="33" customHeight="1" thickBot="1" x14ac:dyDescent="0.3">
      <c r="B91" s="98"/>
      <c r="C91" s="98"/>
      <c r="D91" s="88"/>
      <c r="E91" s="88"/>
      <c r="F91" s="88"/>
      <c r="G91" s="128"/>
      <c r="H91" s="128"/>
    </row>
    <row r="92" spans="2:17" s="115" customFormat="1" ht="17.25" thickBot="1" x14ac:dyDescent="0.3">
      <c r="B92" s="236"/>
      <c r="C92" s="98"/>
      <c r="D92" s="196" t="s">
        <v>2</v>
      </c>
      <c r="E92" s="136" t="s">
        <v>3</v>
      </c>
      <c r="F92" s="478" t="s">
        <v>99</v>
      </c>
      <c r="G92" s="478"/>
      <c r="H92" s="479"/>
    </row>
    <row r="93" spans="2:17" ht="16.5" customHeight="1" x14ac:dyDescent="0.25">
      <c r="B93" s="488" t="s">
        <v>6</v>
      </c>
      <c r="C93" s="199" t="s">
        <v>18</v>
      </c>
      <c r="D93" s="200">
        <f>$D$43*$D$22*$D$30/1000+$D$51*$D$23*$D$31/1000</f>
        <v>6582000</v>
      </c>
      <c r="E93" s="155">
        <f>$D$43*$D$22*$D$30/1000*(1+D24)+$D$51*$D$23*$D$31/1000*(1+D25)</f>
        <v>6911100</v>
      </c>
      <c r="F93" s="482" t="str">
        <f>IF(E95&gt;D95,_xlfn.CONCAT("Increase of ","$", TEXT(ROUND(E95-D95,0),"#,##0"),"/year", " in revenue after harvest, processing and packaging costs"),_xlfn.CONCAT("Decrease of ","$", TEXT(ROUND(ABS(E95-D95),0),"#,##0"),"/year", " in revenue after harvest, processing and packaging costs"))</f>
        <v>Increase of $321,275/year in revenue after harvest, processing and packaging costs</v>
      </c>
      <c r="G93" s="483"/>
      <c r="H93" s="484"/>
      <c r="I93" s="458"/>
      <c r="J93" s="459"/>
      <c r="K93" s="459"/>
      <c r="L93" s="459"/>
      <c r="M93" s="459"/>
      <c r="N93" s="459"/>
      <c r="O93" s="459"/>
      <c r="P93" s="459"/>
      <c r="Q93" s="459"/>
    </row>
    <row r="94" spans="2:17" ht="17.25" customHeight="1" thickBot="1" x14ac:dyDescent="0.3">
      <c r="B94" s="489"/>
      <c r="C94" s="227" t="s">
        <v>130</v>
      </c>
      <c r="D94" s="228">
        <f>($D$43*$D$22*$D$18/1000+$D$19*$D$51*$D$23/1000)*-1</f>
        <v>-156500</v>
      </c>
      <c r="E94" s="229">
        <f>($D$43*$D$22*$D$18/1000*(1+D24)+$D$19*$D$51*$D$23/1000*(1+D25))*-1</f>
        <v>-164325</v>
      </c>
      <c r="F94" s="491"/>
      <c r="G94" s="492"/>
      <c r="H94" s="493"/>
      <c r="I94" s="458"/>
      <c r="J94" s="459"/>
      <c r="K94" s="459"/>
      <c r="L94" s="459"/>
      <c r="M94" s="459"/>
      <c r="N94" s="459"/>
      <c r="O94" s="459"/>
      <c r="P94" s="459"/>
      <c r="Q94" s="459"/>
    </row>
    <row r="95" spans="2:17" ht="34.5" customHeight="1" thickTop="1" thickBot="1" x14ac:dyDescent="0.3">
      <c r="B95" s="490"/>
      <c r="C95" s="230" t="s">
        <v>131</v>
      </c>
      <c r="D95" s="231">
        <f>D93+D94</f>
        <v>6425500</v>
      </c>
      <c r="E95" s="232">
        <f>E93+E94</f>
        <v>6746775</v>
      </c>
      <c r="F95" s="485"/>
      <c r="G95" s="486"/>
      <c r="H95" s="487"/>
      <c r="I95" s="458"/>
      <c r="J95" s="459"/>
      <c r="K95" s="459"/>
      <c r="L95" s="459"/>
      <c r="M95" s="459"/>
      <c r="N95" s="459"/>
      <c r="O95" s="459"/>
      <c r="P95" s="459"/>
      <c r="Q95" s="459"/>
    </row>
    <row r="96" spans="2:17" ht="17.25" thickBot="1" x14ac:dyDescent="0.3">
      <c r="C96" s="117"/>
    </row>
    <row r="97" spans="2:19" ht="15" customHeight="1" x14ac:dyDescent="0.25">
      <c r="B97" s="467" t="s">
        <v>21</v>
      </c>
      <c r="C97" s="151" t="s">
        <v>157</v>
      </c>
      <c r="D97" s="152">
        <f>D86-E86</f>
        <v>-7413.3921428571339</v>
      </c>
      <c r="E97" s="471" t="str">
        <f>IF(D101&gt;0,_xlfn.CONCAT("The project has a net positive benefit of ",TEXT(D101,"#,##0")," $/year after the initial investment of ", TEXT(D7,"$#,##0")), _xlfn.CONCAT("The project will cause losess of ",TEXT(D101,"#,##0")," $/year after the initial  investment of", TEXT(D7,"$#,##0")))</f>
        <v>The project has a net positive benefit of 390,112 $/year after the initial investment of $400,000</v>
      </c>
      <c r="F97" s="472"/>
      <c r="G97" s="458"/>
      <c r="H97" s="459"/>
      <c r="I97" s="459"/>
      <c r="J97" s="459"/>
      <c r="K97" s="459"/>
      <c r="L97" s="459"/>
      <c r="M97" s="459"/>
      <c r="N97" s="459"/>
      <c r="O97" s="459"/>
      <c r="P97" s="459"/>
      <c r="Q97" s="459"/>
      <c r="R97" s="459"/>
    </row>
    <row r="98" spans="2:19" ht="15.75" customHeight="1" thickBot="1" x14ac:dyDescent="0.3">
      <c r="B98" s="468"/>
      <c r="C98" s="397" t="s">
        <v>155</v>
      </c>
      <c r="D98" s="398">
        <f>D90-E90</f>
        <v>101250</v>
      </c>
      <c r="E98" s="473"/>
      <c r="F98" s="474"/>
      <c r="G98" s="458"/>
      <c r="H98" s="459"/>
      <c r="I98" s="459"/>
      <c r="J98" s="459"/>
      <c r="K98" s="459"/>
      <c r="L98" s="459"/>
      <c r="M98" s="459"/>
      <c r="N98" s="459"/>
      <c r="O98" s="459"/>
      <c r="P98" s="459"/>
      <c r="Q98" s="459"/>
      <c r="R98" s="459"/>
    </row>
    <row r="99" spans="2:19" ht="15" customHeight="1" x14ac:dyDescent="0.25">
      <c r="B99" s="469"/>
      <c r="C99" s="151" t="s">
        <v>154</v>
      </c>
      <c r="D99" s="152">
        <f>-D8</f>
        <v>-25000</v>
      </c>
      <c r="E99" s="475"/>
      <c r="F99" s="474"/>
      <c r="G99" s="458"/>
      <c r="H99" s="459"/>
      <c r="I99" s="459"/>
      <c r="J99" s="459"/>
      <c r="K99" s="459"/>
      <c r="L99" s="459"/>
      <c r="M99" s="459"/>
      <c r="N99" s="459"/>
      <c r="O99" s="459"/>
      <c r="P99" s="459"/>
      <c r="Q99" s="459"/>
      <c r="R99" s="459"/>
    </row>
    <row r="100" spans="2:19" ht="15.75" customHeight="1" thickBot="1" x14ac:dyDescent="0.3">
      <c r="B100" s="468"/>
      <c r="C100" s="399" t="s">
        <v>156</v>
      </c>
      <c r="D100" s="400">
        <f>E95-D95</f>
        <v>321275</v>
      </c>
      <c r="E100" s="473"/>
      <c r="F100" s="474"/>
      <c r="G100" s="458"/>
      <c r="H100" s="459"/>
      <c r="I100" s="459"/>
      <c r="J100" s="459"/>
      <c r="K100" s="459"/>
      <c r="L100" s="459"/>
      <c r="M100" s="459"/>
      <c r="N100" s="459"/>
      <c r="O100" s="459"/>
      <c r="P100" s="459"/>
      <c r="Q100" s="459"/>
      <c r="R100" s="459"/>
    </row>
    <row r="101" spans="2:19" ht="16.5" customHeight="1" thickTop="1" thickBot="1" x14ac:dyDescent="0.3">
      <c r="B101" s="470"/>
      <c r="C101" s="137" t="s">
        <v>79</v>
      </c>
      <c r="D101" s="138">
        <f>ROUND(SUM(D97:D100),0)</f>
        <v>390112</v>
      </c>
      <c r="E101" s="476"/>
      <c r="F101" s="477"/>
      <c r="G101" s="458"/>
      <c r="H101" s="459"/>
      <c r="I101" s="459"/>
      <c r="J101" s="459"/>
      <c r="K101" s="459"/>
      <c r="L101" s="459"/>
      <c r="M101" s="459"/>
      <c r="N101" s="459"/>
      <c r="O101" s="459"/>
      <c r="P101" s="459"/>
      <c r="Q101" s="459"/>
      <c r="R101" s="459"/>
      <c r="S101" s="459"/>
    </row>
    <row r="102" spans="2:19" ht="17.25" thickBot="1" x14ac:dyDescent="0.3">
      <c r="C102" s="98"/>
      <c r="D102" s="107"/>
    </row>
    <row r="103" spans="2:19" ht="27.75" customHeight="1" x14ac:dyDescent="0.25">
      <c r="B103" s="460" t="s">
        <v>107</v>
      </c>
      <c r="C103" s="153" t="s">
        <v>7</v>
      </c>
      <c r="D103" s="154">
        <f>-PMT(POWER(1+D39,1/12)-1,D40*12,D7-D41,,1)</f>
        <v>7825.9379591570632</v>
      </c>
      <c r="E103" s="458"/>
      <c r="F103" s="459"/>
      <c r="G103" s="459"/>
      <c r="H103" s="459"/>
      <c r="I103" s="459"/>
      <c r="J103" s="459"/>
      <c r="K103" s="459"/>
      <c r="L103" s="459"/>
    </row>
    <row r="104" spans="2:19" ht="27.75" customHeight="1" thickBot="1" x14ac:dyDescent="0.3">
      <c r="B104" s="461"/>
      <c r="C104" s="156" t="s">
        <v>106</v>
      </c>
      <c r="D104" s="157">
        <f>D103*12</f>
        <v>93911.255509884766</v>
      </c>
      <c r="E104" s="458"/>
      <c r="F104" s="459"/>
      <c r="G104" s="459"/>
      <c r="H104" s="459"/>
      <c r="I104" s="459"/>
      <c r="J104" s="459"/>
      <c r="K104" s="459"/>
      <c r="L104" s="459"/>
    </row>
    <row r="105" spans="2:19" ht="17.25" thickBot="1" x14ac:dyDescent="0.3"/>
    <row r="106" spans="2:19" ht="17.25" x14ac:dyDescent="0.25">
      <c r="B106" s="462" t="s">
        <v>101</v>
      </c>
      <c r="C106" s="130" t="s">
        <v>28</v>
      </c>
      <c r="D106" s="302">
        <f>D7/D101</f>
        <v>1.0253465671396933</v>
      </c>
      <c r="E106" s="303"/>
      <c r="F106" s="465"/>
      <c r="G106" s="466"/>
      <c r="H106" s="466"/>
      <c r="I106" s="466"/>
      <c r="J106" s="466"/>
      <c r="K106" s="466"/>
      <c r="L106" s="466"/>
      <c r="M106" s="466"/>
    </row>
    <row r="107" spans="2:19" ht="17.25" x14ac:dyDescent="0.25">
      <c r="B107" s="463"/>
      <c r="C107" s="131" t="s">
        <v>25</v>
      </c>
      <c r="D107" s="304">
        <f>D101/D7</f>
        <v>0.97528000000000004</v>
      </c>
      <c r="E107" s="305"/>
      <c r="F107" s="458"/>
      <c r="G107" s="459"/>
      <c r="H107" s="459"/>
      <c r="I107" s="459"/>
      <c r="J107" s="459"/>
      <c r="K107" s="459"/>
      <c r="L107" s="459"/>
      <c r="M107" s="459"/>
    </row>
    <row r="108" spans="2:19" ht="14.25" x14ac:dyDescent="0.25">
      <c r="B108" s="463"/>
      <c r="C108" s="233" t="s">
        <v>22</v>
      </c>
      <c r="D108" s="306">
        <f>NPV(D38,NPV!C8:M8)</f>
        <v>613660.25252372597</v>
      </c>
      <c r="E108" s="307"/>
      <c r="F108" s="458"/>
      <c r="G108" s="459"/>
      <c r="H108" s="459"/>
      <c r="I108" s="459"/>
      <c r="J108" s="459"/>
      <c r="K108" s="459"/>
      <c r="L108" s="459"/>
      <c r="M108" s="459"/>
    </row>
    <row r="109" spans="2:19" ht="15" thickBot="1" x14ac:dyDescent="0.3">
      <c r="B109" s="464"/>
      <c r="C109" s="234" t="s">
        <v>100</v>
      </c>
      <c r="D109" s="300">
        <f>IRR(NPV!C8:M8)</f>
        <v>0.44759988701559927</v>
      </c>
      <c r="E109" s="301"/>
      <c r="F109" s="458"/>
      <c r="G109" s="459"/>
      <c r="H109" s="459"/>
      <c r="I109" s="459"/>
      <c r="J109" s="459"/>
      <c r="K109" s="459"/>
      <c r="L109" s="459"/>
      <c r="M109" s="459"/>
    </row>
    <row r="112" spans="2:19" x14ac:dyDescent="0.25">
      <c r="F112" s="107"/>
    </row>
    <row r="113" spans="6:6" x14ac:dyDescent="0.25">
      <c r="F113" s="107"/>
    </row>
  </sheetData>
  <sheetProtection sheet="1" objects="1" scenarios="1"/>
  <mergeCells count="118">
    <mergeCell ref="S5:AF6"/>
    <mergeCell ref="T51:AE51"/>
    <mergeCell ref="V52:AE52"/>
    <mergeCell ref="T54:T62"/>
    <mergeCell ref="T9:AE9"/>
    <mergeCell ref="V12:AE12"/>
    <mergeCell ref="T14:T23"/>
    <mergeCell ref="T25:AE25"/>
    <mergeCell ref="V26:AE26"/>
    <mergeCell ref="T28:T36"/>
    <mergeCell ref="T38:AE38"/>
    <mergeCell ref="V39:AE39"/>
    <mergeCell ref="T41:T49"/>
    <mergeCell ref="J47:S47"/>
    <mergeCell ref="J48:S48"/>
    <mergeCell ref="J49:S49"/>
    <mergeCell ref="E6:L6"/>
    <mergeCell ref="E7:L7"/>
    <mergeCell ref="E8:L8"/>
    <mergeCell ref="E9:L9"/>
    <mergeCell ref="E12:L12"/>
    <mergeCell ref="E13:J13"/>
    <mergeCell ref="E14:J14"/>
    <mergeCell ref="E15:J15"/>
    <mergeCell ref="E16:J16"/>
    <mergeCell ref="B27:B28"/>
    <mergeCell ref="E27:L27"/>
    <mergeCell ref="E28:L28"/>
    <mergeCell ref="B30:B31"/>
    <mergeCell ref="E30:L30"/>
    <mergeCell ref="E31:L31"/>
    <mergeCell ref="E17:J17"/>
    <mergeCell ref="E18:L18"/>
    <mergeCell ref="E19:L19"/>
    <mergeCell ref="B22:B25"/>
    <mergeCell ref="E22:J22"/>
    <mergeCell ref="E23:J23"/>
    <mergeCell ref="E24:L24"/>
    <mergeCell ref="E25:L25"/>
    <mergeCell ref="B7:B20"/>
    <mergeCell ref="B43:B49"/>
    <mergeCell ref="E43:G43"/>
    <mergeCell ref="D45:E45"/>
    <mergeCell ref="F45:G45"/>
    <mergeCell ref="H45:I45"/>
    <mergeCell ref="D47:E47"/>
    <mergeCell ref="F47:G47"/>
    <mergeCell ref="H47:I47"/>
    <mergeCell ref="B33:B36"/>
    <mergeCell ref="E33:L33"/>
    <mergeCell ref="E34:L34"/>
    <mergeCell ref="E35:L35"/>
    <mergeCell ref="E36:L36"/>
    <mergeCell ref="B38:B41"/>
    <mergeCell ref="E38:I38"/>
    <mergeCell ref="E39:I39"/>
    <mergeCell ref="E40:I40"/>
    <mergeCell ref="E41:I41"/>
    <mergeCell ref="C68:C69"/>
    <mergeCell ref="B71:B81"/>
    <mergeCell ref="C72:C73"/>
    <mergeCell ref="H72:O73"/>
    <mergeCell ref="C74:C75"/>
    <mergeCell ref="H74:O75"/>
    <mergeCell ref="H56:S56"/>
    <mergeCell ref="H57:S57"/>
    <mergeCell ref="B59:B69"/>
    <mergeCell ref="C60:C61"/>
    <mergeCell ref="G60:O61"/>
    <mergeCell ref="C62:C63"/>
    <mergeCell ref="C64:C65"/>
    <mergeCell ref="C66:C67"/>
    <mergeCell ref="B51:B57"/>
    <mergeCell ref="E51:G51"/>
    <mergeCell ref="D53:E53"/>
    <mergeCell ref="F53:G53"/>
    <mergeCell ref="D55:E55"/>
    <mergeCell ref="F55:G55"/>
    <mergeCell ref="H55:S55"/>
    <mergeCell ref="F83:H83"/>
    <mergeCell ref="B84:B86"/>
    <mergeCell ref="F84:H84"/>
    <mergeCell ref="I84:O84"/>
    <mergeCell ref="F85:H85"/>
    <mergeCell ref="I85:O85"/>
    <mergeCell ref="F86:H86"/>
    <mergeCell ref="I86:O86"/>
    <mergeCell ref="C76:C77"/>
    <mergeCell ref="H76:O77"/>
    <mergeCell ref="C78:C79"/>
    <mergeCell ref="H78:O79"/>
    <mergeCell ref="C80:C81"/>
    <mergeCell ref="H80:O81"/>
    <mergeCell ref="F88:H88"/>
    <mergeCell ref="B89:B90"/>
    <mergeCell ref="F89:H90"/>
    <mergeCell ref="I89:O90"/>
    <mergeCell ref="F92:H92"/>
    <mergeCell ref="B93:B95"/>
    <mergeCell ref="F93:H95"/>
    <mergeCell ref="I93:Q93"/>
    <mergeCell ref="I94:Q94"/>
    <mergeCell ref="I95:Q95"/>
    <mergeCell ref="F109:M109"/>
    <mergeCell ref="B103:B104"/>
    <mergeCell ref="E103:L103"/>
    <mergeCell ref="E104:L104"/>
    <mergeCell ref="B106:B109"/>
    <mergeCell ref="F106:M106"/>
    <mergeCell ref="F107:M107"/>
    <mergeCell ref="F108:M108"/>
    <mergeCell ref="B97:B101"/>
    <mergeCell ref="E97:F101"/>
    <mergeCell ref="G97:R97"/>
    <mergeCell ref="G98:R98"/>
    <mergeCell ref="G99:R99"/>
    <mergeCell ref="G100:R100"/>
    <mergeCell ref="G101:S101"/>
  </mergeCells>
  <conditionalFormatting sqref="E97">
    <cfRule type="expression" dxfId="30" priority="11">
      <formula>$D$101&lt;0</formula>
    </cfRule>
    <cfRule type="expression" dxfId="29" priority="12">
      <formula>$D$101&gt;0</formula>
    </cfRule>
  </conditionalFormatting>
  <conditionalFormatting sqref="F84">
    <cfRule type="expression" dxfId="28" priority="9">
      <formula>$E$84&gt;$D$84</formula>
    </cfRule>
    <cfRule type="expression" dxfId="27" priority="10">
      <formula>$E$84&lt;$D$84</formula>
    </cfRule>
  </conditionalFormatting>
  <conditionalFormatting sqref="F85">
    <cfRule type="expression" dxfId="26" priority="6">
      <formula>$D$85&gt;$E$85</formula>
    </cfRule>
    <cfRule type="expression" dxfId="25" priority="8">
      <formula>$E$85&gt;$D$85</formula>
    </cfRule>
  </conditionalFormatting>
  <conditionalFormatting sqref="F86">
    <cfRule type="expression" dxfId="24" priority="5">
      <formula>$E$86&gt;$D$86</formula>
    </cfRule>
    <cfRule type="expression" dxfId="23" priority="7">
      <formula>$D$86&gt;$E$86</formula>
    </cfRule>
  </conditionalFormatting>
  <conditionalFormatting sqref="F89">
    <cfRule type="expression" dxfId="22" priority="3">
      <formula>$E$90&gt;$D$90</formula>
    </cfRule>
    <cfRule type="expression" dxfId="21" priority="4">
      <formula>$D$90&gt;$E$90</formula>
    </cfRule>
  </conditionalFormatting>
  <conditionalFormatting sqref="F93">
    <cfRule type="expression" dxfId="20" priority="1">
      <formula>$D$95&gt;$E$95</formula>
    </cfRule>
    <cfRule type="expression" dxfId="19" priority="2">
      <formula>$E$95&gt;$D$95</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5652A-351B-4C5C-8509-A52873834570}">
  <dimension ref="A1:AF109"/>
  <sheetViews>
    <sheetView showGridLines="0" topLeftCell="A36" zoomScale="85" zoomScaleNormal="85" workbookViewId="0">
      <selection activeCell="I48" sqref="I48"/>
    </sheetView>
  </sheetViews>
  <sheetFormatPr defaultColWidth="9.140625" defaultRowHeight="16.5" x14ac:dyDescent="0.25"/>
  <cols>
    <col min="1" max="1" width="7.28515625" style="430" customWidth="1"/>
    <col min="2" max="2" width="11.7109375" style="235" customWidth="1"/>
    <col min="3" max="3" width="61.42578125" style="85" customWidth="1"/>
    <col min="4" max="4" width="13.85546875" style="404" customWidth="1"/>
    <col min="5" max="5" width="15" style="404" customWidth="1"/>
    <col min="6" max="6" width="14.5703125" style="404" customWidth="1"/>
    <col min="7" max="8" width="13.85546875" style="404" customWidth="1"/>
    <col min="9" max="9" width="13.85546875" style="86" customWidth="1"/>
    <col min="10" max="10" width="12.5703125" style="86" bestFit="1" customWidth="1"/>
    <col min="11" max="11" width="9" style="86" bestFit="1" customWidth="1"/>
    <col min="12" max="12" width="12.5703125" style="86" bestFit="1" customWidth="1"/>
    <col min="13" max="13" width="9" style="86" bestFit="1" customWidth="1"/>
    <col min="14" max="14" width="10" style="86" bestFit="1" customWidth="1"/>
    <col min="15" max="15" width="13.42578125" style="86" bestFit="1" customWidth="1"/>
    <col min="16" max="20" width="12.5703125" style="86" bestFit="1" customWidth="1"/>
    <col min="21" max="21" width="11.28515625" style="86" bestFit="1" customWidth="1"/>
    <col min="22" max="22" width="10" style="86" customWidth="1"/>
    <col min="23" max="32" width="11.5703125" style="86" bestFit="1" customWidth="1"/>
    <col min="33" max="16384" width="9.140625" style="86"/>
  </cols>
  <sheetData>
    <row r="1" spans="1:32" ht="17.25" thickBot="1" x14ac:dyDescent="0.3">
      <c r="A1" s="430">
        <v>1</v>
      </c>
      <c r="C1" s="419"/>
      <c r="D1" s="427"/>
      <c r="E1" s="671" t="s">
        <v>113</v>
      </c>
      <c r="F1" s="671"/>
      <c r="G1" s="671"/>
      <c r="H1" s="426"/>
      <c r="I1" s="426"/>
      <c r="J1" s="426"/>
      <c r="K1" s="426"/>
      <c r="L1" s="426"/>
      <c r="U1" s="553" t="s">
        <v>208</v>
      </c>
      <c r="V1" s="553"/>
      <c r="W1" s="553"/>
      <c r="X1" s="553"/>
      <c r="Y1" s="553"/>
      <c r="Z1" s="553"/>
      <c r="AA1" s="553"/>
      <c r="AB1" s="553"/>
      <c r="AC1" s="553"/>
      <c r="AD1" s="553"/>
      <c r="AE1" s="553"/>
      <c r="AF1" s="553"/>
    </row>
    <row r="2" spans="1:32" ht="17.25" thickBot="1" x14ac:dyDescent="0.3">
      <c r="A2" s="431">
        <v>2</v>
      </c>
      <c r="B2" s="549" t="s">
        <v>80</v>
      </c>
      <c r="C2" s="420" t="s">
        <v>179</v>
      </c>
      <c r="D2" s="377">
        <v>400000</v>
      </c>
      <c r="E2" s="543" t="s">
        <v>114</v>
      </c>
      <c r="F2" s="543"/>
      <c r="G2" s="543"/>
      <c r="H2" s="543"/>
      <c r="I2" s="543"/>
      <c r="J2" s="543"/>
      <c r="K2" s="543"/>
      <c r="L2" s="543"/>
      <c r="U2" s="672"/>
      <c r="V2" s="672"/>
      <c r="W2" s="672"/>
      <c r="X2" s="672"/>
      <c r="Y2" s="672"/>
      <c r="Z2" s="672"/>
      <c r="AA2" s="672"/>
      <c r="AB2" s="672"/>
      <c r="AC2" s="672"/>
      <c r="AD2" s="672"/>
      <c r="AE2" s="672"/>
      <c r="AF2" s="672"/>
    </row>
    <row r="3" spans="1:32" ht="19.5" thickBot="1" x14ac:dyDescent="0.3">
      <c r="A3" s="431">
        <v>3</v>
      </c>
      <c r="B3" s="550"/>
      <c r="C3" s="421" t="s">
        <v>180</v>
      </c>
      <c r="D3" s="418">
        <v>25000</v>
      </c>
      <c r="E3" s="543" t="s">
        <v>181</v>
      </c>
      <c r="F3" s="543"/>
      <c r="G3" s="543"/>
      <c r="H3" s="543"/>
      <c r="I3" s="543"/>
      <c r="J3" s="543"/>
      <c r="K3" s="543"/>
      <c r="L3" s="543"/>
      <c r="U3" s="645" t="s">
        <v>209</v>
      </c>
      <c r="V3" s="646"/>
      <c r="W3" s="646"/>
      <c r="X3" s="646"/>
      <c r="Y3" s="646"/>
      <c r="Z3" s="646"/>
      <c r="AA3" s="646"/>
      <c r="AB3" s="646"/>
      <c r="AC3" s="646"/>
      <c r="AD3" s="646"/>
      <c r="AE3" s="646"/>
      <c r="AF3" s="647"/>
    </row>
    <row r="4" spans="1:32" ht="19.5" thickBot="1" x14ac:dyDescent="0.3">
      <c r="A4" s="431">
        <v>4</v>
      </c>
      <c r="B4" s="551"/>
      <c r="C4" s="422" t="s">
        <v>24</v>
      </c>
      <c r="D4" s="378">
        <v>25000</v>
      </c>
      <c r="E4" s="543" t="s">
        <v>161</v>
      </c>
      <c r="F4" s="543"/>
      <c r="G4" s="543"/>
      <c r="H4" s="543"/>
      <c r="I4" s="543"/>
      <c r="J4" s="543"/>
      <c r="K4" s="543"/>
      <c r="L4" s="543"/>
      <c r="U4" s="177"/>
      <c r="V4" s="178"/>
      <c r="W4" s="648" t="s">
        <v>26</v>
      </c>
      <c r="X4" s="649"/>
      <c r="Y4" s="649"/>
      <c r="Z4" s="649"/>
      <c r="AA4" s="649"/>
      <c r="AB4" s="649"/>
      <c r="AC4" s="649"/>
      <c r="AD4" s="649"/>
      <c r="AE4" s="649"/>
      <c r="AF4" s="650"/>
    </row>
    <row r="5" spans="1:32" ht="17.25" thickBot="1" x14ac:dyDescent="0.3">
      <c r="A5" s="431">
        <v>5</v>
      </c>
      <c r="B5" s="551"/>
      <c r="C5" s="423" t="s">
        <v>14</v>
      </c>
      <c r="D5" s="379">
        <v>250</v>
      </c>
      <c r="E5" s="543" t="s">
        <v>115</v>
      </c>
      <c r="F5" s="543"/>
      <c r="G5" s="543"/>
      <c r="H5" s="543"/>
      <c r="I5" s="543"/>
      <c r="J5" s="543"/>
      <c r="K5" s="543"/>
      <c r="L5" s="543"/>
      <c r="U5" s="179"/>
      <c r="V5" s="180">
        <f>$D$97</f>
        <v>183583</v>
      </c>
      <c r="W5" s="352">
        <v>10</v>
      </c>
      <c r="X5" s="353">
        <f t="shared" ref="X5:AF5" si="0">W5+10</f>
        <v>20</v>
      </c>
      <c r="Y5" s="354">
        <f t="shared" si="0"/>
        <v>30</v>
      </c>
      <c r="Z5" s="353">
        <f t="shared" si="0"/>
        <v>40</v>
      </c>
      <c r="AA5" s="354">
        <f t="shared" si="0"/>
        <v>50</v>
      </c>
      <c r="AB5" s="353">
        <f t="shared" si="0"/>
        <v>60</v>
      </c>
      <c r="AC5" s="354">
        <f t="shared" si="0"/>
        <v>70</v>
      </c>
      <c r="AD5" s="353">
        <f t="shared" si="0"/>
        <v>80</v>
      </c>
      <c r="AE5" s="354">
        <f t="shared" si="0"/>
        <v>90</v>
      </c>
      <c r="AF5" s="355">
        <f t="shared" si="0"/>
        <v>100</v>
      </c>
    </row>
    <row r="6" spans="1:32" ht="33" x14ac:dyDescent="0.25">
      <c r="A6" s="431">
        <v>6</v>
      </c>
      <c r="B6" s="551"/>
      <c r="C6" s="423" t="s">
        <v>205</v>
      </c>
      <c r="D6" s="424">
        <f>D2*0.015</f>
        <v>6000</v>
      </c>
      <c r="E6" s="409" t="s">
        <v>188</v>
      </c>
      <c r="F6" s="409"/>
      <c r="G6" s="409"/>
      <c r="H6" s="409"/>
      <c r="I6" s="409"/>
      <c r="J6" s="409"/>
      <c r="K6" s="409"/>
      <c r="L6" s="409"/>
      <c r="U6" s="651" t="s">
        <v>27</v>
      </c>
      <c r="V6" s="356">
        <v>10</v>
      </c>
      <c r="W6" s="184">
        <f t="dataTable" ref="W6:AF14" dt2D="1" dtr="1" r1="D46" r2="D38"/>
        <v>12617</v>
      </c>
      <c r="X6" s="346">
        <v>43449</v>
      </c>
      <c r="Y6" s="185">
        <v>74282</v>
      </c>
      <c r="Z6" s="346">
        <v>105114</v>
      </c>
      <c r="AA6" s="185">
        <v>135947</v>
      </c>
      <c r="AB6" s="346">
        <v>166780</v>
      </c>
      <c r="AC6" s="185">
        <v>197612</v>
      </c>
      <c r="AD6" s="346">
        <v>228445</v>
      </c>
      <c r="AE6" s="185">
        <v>259278</v>
      </c>
      <c r="AF6" s="348">
        <v>290110</v>
      </c>
    </row>
    <row r="7" spans="1:32" ht="33" x14ac:dyDescent="0.25">
      <c r="A7" s="431">
        <v>7</v>
      </c>
      <c r="B7" s="551"/>
      <c r="C7" s="423" t="s">
        <v>182</v>
      </c>
      <c r="D7" s="425">
        <f>D3*0.035</f>
        <v>875.00000000000011</v>
      </c>
      <c r="E7" s="409" t="s">
        <v>187</v>
      </c>
      <c r="F7" s="409"/>
      <c r="G7" s="409"/>
      <c r="H7" s="409"/>
      <c r="I7" s="409"/>
      <c r="J7" s="409"/>
      <c r="K7" s="409"/>
      <c r="L7" s="409"/>
      <c r="U7" s="652"/>
      <c r="V7" s="357">
        <f t="shared" ref="V7:V14" si="1">V6+10</f>
        <v>20</v>
      </c>
      <c r="W7" s="343">
        <v>24526</v>
      </c>
      <c r="X7" s="350">
        <v>55358</v>
      </c>
      <c r="Y7" s="344">
        <v>86191</v>
      </c>
      <c r="Z7" s="350">
        <v>117023</v>
      </c>
      <c r="AA7" s="344">
        <v>147856</v>
      </c>
      <c r="AB7" s="350">
        <v>178689</v>
      </c>
      <c r="AC7" s="344">
        <v>209521</v>
      </c>
      <c r="AD7" s="350">
        <v>240354</v>
      </c>
      <c r="AE7" s="344">
        <v>271186</v>
      </c>
      <c r="AF7" s="351">
        <v>302019</v>
      </c>
    </row>
    <row r="8" spans="1:32" x14ac:dyDescent="0.25">
      <c r="A8" s="431">
        <v>8</v>
      </c>
      <c r="B8" s="551"/>
      <c r="C8" s="422" t="s">
        <v>5</v>
      </c>
      <c r="D8" s="379">
        <v>22.5</v>
      </c>
      <c r="E8" s="543" t="s">
        <v>116</v>
      </c>
      <c r="F8" s="543"/>
      <c r="G8" s="543"/>
      <c r="H8" s="543"/>
      <c r="I8" s="543"/>
      <c r="J8" s="543"/>
      <c r="K8" s="543"/>
      <c r="L8" s="543"/>
      <c r="U8" s="652"/>
      <c r="V8" s="356">
        <f t="shared" si="1"/>
        <v>30</v>
      </c>
      <c r="W8" s="189">
        <v>36435</v>
      </c>
      <c r="X8" s="344">
        <v>67267</v>
      </c>
      <c r="Y8" s="81">
        <v>98100</v>
      </c>
      <c r="Z8" s="344">
        <v>128932</v>
      </c>
      <c r="AA8" s="81">
        <v>159765</v>
      </c>
      <c r="AB8" s="344">
        <v>190598</v>
      </c>
      <c r="AC8" s="81">
        <v>221430</v>
      </c>
      <c r="AD8" s="344">
        <v>252263</v>
      </c>
      <c r="AE8" s="81">
        <v>283095</v>
      </c>
      <c r="AF8" s="345">
        <v>313928</v>
      </c>
    </row>
    <row r="9" spans="1:32" x14ac:dyDescent="0.25">
      <c r="A9" s="431">
        <v>9</v>
      </c>
      <c r="B9" s="551"/>
      <c r="C9" s="423" t="str">
        <f>_xlfn.CONCAT(D40," cost ($/litre)")</f>
        <v>Lorox cost ($/litre)</v>
      </c>
      <c r="D9" s="379">
        <v>36</v>
      </c>
      <c r="E9" s="543"/>
      <c r="F9" s="538"/>
      <c r="G9" s="538"/>
      <c r="H9" s="538"/>
      <c r="I9" s="538"/>
      <c r="J9" s="538"/>
      <c r="K9" s="205"/>
      <c r="L9" s="205"/>
      <c r="U9" s="652"/>
      <c r="V9" s="357">
        <f t="shared" si="1"/>
        <v>40</v>
      </c>
      <c r="W9" s="343">
        <v>48344</v>
      </c>
      <c r="X9" s="350">
        <v>79176</v>
      </c>
      <c r="Y9" s="344">
        <v>110009</v>
      </c>
      <c r="Z9" s="350">
        <v>140841</v>
      </c>
      <c r="AA9" s="344">
        <v>171674</v>
      </c>
      <c r="AB9" s="350">
        <v>202507</v>
      </c>
      <c r="AC9" s="344">
        <v>233339</v>
      </c>
      <c r="AD9" s="350">
        <v>264172</v>
      </c>
      <c r="AE9" s="344">
        <v>295004</v>
      </c>
      <c r="AF9" s="351">
        <v>325837</v>
      </c>
    </row>
    <row r="10" spans="1:32" x14ac:dyDescent="0.25">
      <c r="A10" s="431">
        <v>10</v>
      </c>
      <c r="B10" s="551"/>
      <c r="C10" s="422" t="str">
        <f>_xlfn.CONCAT(F40," cost ($/litre)")</f>
        <v>Ultra blazer cost ($/litre)</v>
      </c>
      <c r="D10" s="379">
        <v>22</v>
      </c>
      <c r="E10" s="543"/>
      <c r="F10" s="538"/>
      <c r="G10" s="538"/>
      <c r="H10" s="538"/>
      <c r="I10" s="538"/>
      <c r="J10" s="538"/>
      <c r="K10" s="205"/>
      <c r="L10" s="205"/>
      <c r="U10" s="652"/>
      <c r="V10" s="356">
        <f t="shared" si="1"/>
        <v>50</v>
      </c>
      <c r="W10" s="187">
        <v>60253</v>
      </c>
      <c r="X10" s="344">
        <v>91085</v>
      </c>
      <c r="Y10" s="80">
        <v>121918</v>
      </c>
      <c r="Z10" s="344">
        <v>152750</v>
      </c>
      <c r="AA10" s="80">
        <v>183583</v>
      </c>
      <c r="AB10" s="344">
        <v>214416</v>
      </c>
      <c r="AC10" s="80">
        <v>245248</v>
      </c>
      <c r="AD10" s="344">
        <v>276081</v>
      </c>
      <c r="AE10" s="80">
        <v>306913</v>
      </c>
      <c r="AF10" s="345">
        <v>337746</v>
      </c>
    </row>
    <row r="11" spans="1:32" x14ac:dyDescent="0.25">
      <c r="A11" s="431">
        <v>11</v>
      </c>
      <c r="B11" s="551"/>
      <c r="C11" s="423" t="str">
        <f>_xlfn.CONCAT(H40," cost ($/litre)")</f>
        <v>Assist cost ($/litre)</v>
      </c>
      <c r="D11" s="379">
        <v>11</v>
      </c>
      <c r="E11" s="543"/>
      <c r="F11" s="538"/>
      <c r="G11" s="538"/>
      <c r="H11" s="538"/>
      <c r="I11" s="538"/>
      <c r="J11" s="538"/>
      <c r="K11" s="205"/>
      <c r="L11" s="205"/>
      <c r="U11" s="652"/>
      <c r="V11" s="357">
        <f t="shared" si="1"/>
        <v>60</v>
      </c>
      <c r="W11" s="343">
        <v>72161</v>
      </c>
      <c r="X11" s="350">
        <v>102994</v>
      </c>
      <c r="Y11" s="344">
        <v>133827</v>
      </c>
      <c r="Z11" s="350">
        <v>164659</v>
      </c>
      <c r="AA11" s="344">
        <v>195492</v>
      </c>
      <c r="AB11" s="350">
        <v>226325</v>
      </c>
      <c r="AC11" s="344">
        <v>257157</v>
      </c>
      <c r="AD11" s="350">
        <v>287990</v>
      </c>
      <c r="AE11" s="344">
        <v>318822</v>
      </c>
      <c r="AF11" s="351">
        <v>349655</v>
      </c>
    </row>
    <row r="12" spans="1:32" x14ac:dyDescent="0.25">
      <c r="A12" s="431">
        <v>12</v>
      </c>
      <c r="B12" s="551"/>
      <c r="C12" s="422" t="str">
        <f>_xlfn.CONCAT(D48," cost ($/litre)")</f>
        <v>Goal cost ($/litre)</v>
      </c>
      <c r="D12" s="379">
        <v>64</v>
      </c>
      <c r="E12" s="543"/>
      <c r="F12" s="538"/>
      <c r="G12" s="538"/>
      <c r="H12" s="538"/>
      <c r="I12" s="538"/>
      <c r="J12" s="538"/>
      <c r="K12" s="205"/>
      <c r="L12" s="205"/>
      <c r="U12" s="652"/>
      <c r="V12" s="356">
        <f t="shared" si="1"/>
        <v>70</v>
      </c>
      <c r="W12" s="187">
        <v>84070</v>
      </c>
      <c r="X12" s="344">
        <v>114903</v>
      </c>
      <c r="Y12" s="80">
        <v>145736</v>
      </c>
      <c r="Z12" s="344">
        <v>176568</v>
      </c>
      <c r="AA12" s="80">
        <v>207401</v>
      </c>
      <c r="AB12" s="344">
        <v>238234</v>
      </c>
      <c r="AC12" s="80">
        <v>269066</v>
      </c>
      <c r="AD12" s="344">
        <v>299899</v>
      </c>
      <c r="AE12" s="80">
        <v>330731</v>
      </c>
      <c r="AF12" s="345">
        <v>361564</v>
      </c>
    </row>
    <row r="13" spans="1:32" x14ac:dyDescent="0.25">
      <c r="A13" s="431">
        <v>13</v>
      </c>
      <c r="B13" s="551"/>
      <c r="C13" s="423" t="s">
        <v>12</v>
      </c>
      <c r="D13" s="379">
        <v>20</v>
      </c>
      <c r="E13" s="543"/>
      <c r="F13" s="538"/>
      <c r="G13" s="538"/>
      <c r="H13" s="538"/>
      <c r="I13" s="538"/>
      <c r="J13" s="538"/>
      <c r="K13" s="205"/>
      <c r="L13" s="205"/>
      <c r="U13" s="652"/>
      <c r="V13" s="357">
        <f t="shared" si="1"/>
        <v>80</v>
      </c>
      <c r="W13" s="343">
        <v>95979</v>
      </c>
      <c r="X13" s="350">
        <v>126812</v>
      </c>
      <c r="Y13" s="344">
        <v>157645</v>
      </c>
      <c r="Z13" s="350">
        <v>188477</v>
      </c>
      <c r="AA13" s="344">
        <v>219310</v>
      </c>
      <c r="AB13" s="350">
        <v>250143</v>
      </c>
      <c r="AC13" s="344">
        <v>280975</v>
      </c>
      <c r="AD13" s="350">
        <v>311808</v>
      </c>
      <c r="AE13" s="344">
        <v>342640</v>
      </c>
      <c r="AF13" s="351">
        <v>373473</v>
      </c>
    </row>
    <row r="14" spans="1:32" ht="33.75" thickBot="1" x14ac:dyDescent="0.3">
      <c r="A14" s="431">
        <v>14</v>
      </c>
      <c r="B14" s="551"/>
      <c r="C14" s="422" t="s">
        <v>199</v>
      </c>
      <c r="D14" s="380">
        <v>30</v>
      </c>
      <c r="E14" s="401" t="s">
        <v>189</v>
      </c>
      <c r="F14" s="401"/>
      <c r="G14" s="401"/>
      <c r="H14" s="401"/>
      <c r="I14" s="401"/>
      <c r="J14" s="401"/>
      <c r="K14" s="401"/>
      <c r="L14" s="401"/>
      <c r="P14" s="403"/>
      <c r="U14" s="653"/>
      <c r="V14" s="358">
        <f t="shared" si="1"/>
        <v>90</v>
      </c>
      <c r="W14" s="191">
        <v>107888</v>
      </c>
      <c r="X14" s="347">
        <v>138721</v>
      </c>
      <c r="Y14" s="192">
        <v>169554</v>
      </c>
      <c r="Z14" s="347">
        <v>200386</v>
      </c>
      <c r="AA14" s="192">
        <v>231219</v>
      </c>
      <c r="AB14" s="347">
        <v>262052</v>
      </c>
      <c r="AC14" s="192">
        <v>292884</v>
      </c>
      <c r="AD14" s="347">
        <v>323717</v>
      </c>
      <c r="AE14" s="192">
        <v>354549</v>
      </c>
      <c r="AF14" s="349">
        <v>385382</v>
      </c>
    </row>
    <row r="15" spans="1:32" ht="33.75" thickBot="1" x14ac:dyDescent="0.3">
      <c r="A15" s="431">
        <v>15</v>
      </c>
      <c r="B15" s="552"/>
      <c r="C15" s="422" t="s">
        <v>200</v>
      </c>
      <c r="D15" s="381">
        <v>25</v>
      </c>
      <c r="E15" s="401" t="s">
        <v>190</v>
      </c>
      <c r="F15" s="401"/>
      <c r="G15" s="401"/>
      <c r="H15" s="401"/>
      <c r="I15" s="401"/>
      <c r="J15" s="401"/>
      <c r="K15" s="401"/>
      <c r="L15" s="401"/>
    </row>
    <row r="16" spans="1:32" ht="19.5" thickBot="1" x14ac:dyDescent="0.3">
      <c r="A16" s="430">
        <v>16</v>
      </c>
      <c r="B16" s="236"/>
      <c r="D16" s="238"/>
      <c r="E16" s="410"/>
      <c r="F16" s="408"/>
      <c r="G16" s="408"/>
      <c r="H16" s="408"/>
      <c r="I16" s="205"/>
      <c r="J16" s="205"/>
      <c r="K16" s="205"/>
      <c r="L16" s="205"/>
      <c r="U16" s="566" t="s">
        <v>210</v>
      </c>
      <c r="V16" s="567"/>
      <c r="W16" s="567"/>
      <c r="X16" s="567"/>
      <c r="Y16" s="567"/>
      <c r="Z16" s="567"/>
      <c r="AA16" s="567"/>
      <c r="AB16" s="567"/>
      <c r="AC16" s="567"/>
      <c r="AD16" s="567"/>
      <c r="AE16" s="567"/>
      <c r="AF16" s="568"/>
    </row>
    <row r="17" spans="1:32" ht="15" customHeight="1" thickBot="1" x14ac:dyDescent="0.3">
      <c r="A17" s="431">
        <v>17</v>
      </c>
      <c r="B17" s="618" t="s">
        <v>81</v>
      </c>
      <c r="C17" s="254" t="s">
        <v>164</v>
      </c>
      <c r="D17" s="382">
        <v>65000</v>
      </c>
      <c r="E17" s="548"/>
      <c r="F17" s="548"/>
      <c r="G17" s="548"/>
      <c r="H17" s="548"/>
      <c r="I17" s="548"/>
      <c r="J17" s="548"/>
      <c r="K17" s="205"/>
      <c r="L17" s="205"/>
      <c r="U17" s="177"/>
      <c r="V17" s="178"/>
      <c r="W17" s="666" t="s">
        <v>26</v>
      </c>
      <c r="X17" s="667"/>
      <c r="Y17" s="667"/>
      <c r="Z17" s="667"/>
      <c r="AA17" s="667"/>
      <c r="AB17" s="667"/>
      <c r="AC17" s="667"/>
      <c r="AD17" s="667"/>
      <c r="AE17" s="667"/>
      <c r="AF17" s="668"/>
    </row>
    <row r="18" spans="1:32" ht="17.25" thickBot="1" x14ac:dyDescent="0.3">
      <c r="A18" s="431">
        <v>18</v>
      </c>
      <c r="B18" s="619"/>
      <c r="C18" s="118" t="s">
        <v>165</v>
      </c>
      <c r="D18" s="383">
        <v>55000</v>
      </c>
      <c r="E18" s="548"/>
      <c r="F18" s="548"/>
      <c r="G18" s="548"/>
      <c r="H18" s="548"/>
      <c r="I18" s="548"/>
      <c r="J18" s="548"/>
      <c r="K18" s="205"/>
      <c r="L18" s="205"/>
      <c r="U18" s="179"/>
      <c r="V18" s="180">
        <f>$D$103</f>
        <v>0.45895750000000002</v>
      </c>
      <c r="W18" s="352">
        <v>10</v>
      </c>
      <c r="X18" s="353">
        <f t="shared" ref="X18:AF18" si="2">W18+10</f>
        <v>20</v>
      </c>
      <c r="Y18" s="354">
        <f t="shared" si="2"/>
        <v>30</v>
      </c>
      <c r="Z18" s="353">
        <f t="shared" si="2"/>
        <v>40</v>
      </c>
      <c r="AA18" s="354">
        <f t="shared" si="2"/>
        <v>50</v>
      </c>
      <c r="AB18" s="353">
        <f t="shared" si="2"/>
        <v>60</v>
      </c>
      <c r="AC18" s="354">
        <f t="shared" si="2"/>
        <v>70</v>
      </c>
      <c r="AD18" s="353">
        <f t="shared" si="2"/>
        <v>80</v>
      </c>
      <c r="AE18" s="354">
        <f t="shared" si="2"/>
        <v>90</v>
      </c>
      <c r="AF18" s="355">
        <f t="shared" si="2"/>
        <v>100</v>
      </c>
    </row>
    <row r="19" spans="1:32" x14ac:dyDescent="0.25">
      <c r="A19" s="431">
        <v>19</v>
      </c>
      <c r="B19" s="619"/>
      <c r="C19" s="120" t="s">
        <v>162</v>
      </c>
      <c r="D19" s="384">
        <v>0.05</v>
      </c>
      <c r="E19" s="548" t="s">
        <v>168</v>
      </c>
      <c r="F19" s="548"/>
      <c r="G19" s="548"/>
      <c r="H19" s="548"/>
      <c r="I19" s="548"/>
      <c r="J19" s="548"/>
      <c r="K19" s="548"/>
      <c r="L19" s="548"/>
      <c r="U19" s="673" t="s">
        <v>27</v>
      </c>
      <c r="V19" s="356">
        <v>10</v>
      </c>
      <c r="W19" s="320">
        <f t="dataTable" ref="W19:AF27" dt2D="1" dtr="1" r1="D38" r2="D46" ca="1"/>
        <v>3.1542500000000001E-2</v>
      </c>
      <c r="X19" s="368">
        <v>6.1315000000000001E-2</v>
      </c>
      <c r="Y19" s="321">
        <v>9.1087500000000002E-2</v>
      </c>
      <c r="Z19" s="368">
        <v>0.12086</v>
      </c>
      <c r="AA19" s="321">
        <v>0.1506325</v>
      </c>
      <c r="AB19" s="368">
        <v>0.18040249999999999</v>
      </c>
      <c r="AC19" s="321">
        <v>0.210175</v>
      </c>
      <c r="AD19" s="368">
        <v>0.23994750000000001</v>
      </c>
      <c r="AE19" s="321">
        <v>0.26972000000000002</v>
      </c>
      <c r="AF19" s="369">
        <v>0.29949249999999999</v>
      </c>
    </row>
    <row r="20" spans="1:32" ht="17.25" thickBot="1" x14ac:dyDescent="0.3">
      <c r="A20" s="431">
        <v>20</v>
      </c>
      <c r="B20" s="620"/>
      <c r="C20" s="255" t="s">
        <v>163</v>
      </c>
      <c r="D20" s="385">
        <v>0.05</v>
      </c>
      <c r="E20" s="548" t="s">
        <v>169</v>
      </c>
      <c r="F20" s="548"/>
      <c r="G20" s="548"/>
      <c r="H20" s="548"/>
      <c r="I20" s="548"/>
      <c r="J20" s="548"/>
      <c r="K20" s="548"/>
      <c r="L20" s="548"/>
      <c r="U20" s="674"/>
      <c r="V20" s="357">
        <f t="shared" ref="V20:V27" si="3">V19+10</f>
        <v>20</v>
      </c>
      <c r="W20" s="370">
        <v>0.1086225</v>
      </c>
      <c r="X20" s="371">
        <v>0.13839499999999999</v>
      </c>
      <c r="Y20" s="372">
        <v>0.1681675</v>
      </c>
      <c r="Z20" s="371">
        <v>0.19794</v>
      </c>
      <c r="AA20" s="372">
        <v>0.22771250000000001</v>
      </c>
      <c r="AB20" s="371">
        <v>0.25748500000000002</v>
      </c>
      <c r="AC20" s="372">
        <v>0.2872575</v>
      </c>
      <c r="AD20" s="371">
        <v>0.31702999999999998</v>
      </c>
      <c r="AE20" s="372">
        <v>0.34680250000000001</v>
      </c>
      <c r="AF20" s="373">
        <v>0.37657499999999999</v>
      </c>
    </row>
    <row r="21" spans="1:32" ht="17.25" customHeight="1" thickBot="1" x14ac:dyDescent="0.3">
      <c r="A21" s="430">
        <v>21</v>
      </c>
      <c r="B21" s="236"/>
      <c r="D21" s="238"/>
      <c r="E21" s="405"/>
      <c r="F21" s="408"/>
      <c r="G21" s="408"/>
      <c r="H21" s="408"/>
      <c r="I21" s="205"/>
      <c r="J21" s="205"/>
      <c r="K21" s="205"/>
      <c r="L21" s="205"/>
      <c r="U21" s="674"/>
      <c r="V21" s="356">
        <f t="shared" si="3"/>
        <v>30</v>
      </c>
      <c r="W21" s="326">
        <v>0.18570500000000001</v>
      </c>
      <c r="X21" s="372">
        <v>0.21547749999999999</v>
      </c>
      <c r="Y21" s="327">
        <v>0.24525</v>
      </c>
      <c r="Z21" s="372">
        <v>0.2750225</v>
      </c>
      <c r="AA21" s="327">
        <v>0.30479499999999998</v>
      </c>
      <c r="AB21" s="372">
        <v>0.33456750000000002</v>
      </c>
      <c r="AC21" s="327">
        <v>0.36434</v>
      </c>
      <c r="AD21" s="372">
        <v>0.39411249999999998</v>
      </c>
      <c r="AE21" s="327">
        <v>0.42388500000000001</v>
      </c>
      <c r="AF21" s="374">
        <v>0.45365749999999999</v>
      </c>
    </row>
    <row r="22" spans="1:32" ht="26.25" customHeight="1" x14ac:dyDescent="0.25">
      <c r="A22" s="431">
        <v>22</v>
      </c>
      <c r="B22" s="621" t="s">
        <v>84</v>
      </c>
      <c r="C22" s="121" t="s">
        <v>166</v>
      </c>
      <c r="D22" s="386">
        <v>7</v>
      </c>
      <c r="E22" s="513" t="s">
        <v>176</v>
      </c>
      <c r="F22" s="514"/>
      <c r="G22" s="514"/>
      <c r="H22" s="514"/>
      <c r="I22" s="514"/>
      <c r="J22" s="514"/>
      <c r="K22" s="514"/>
      <c r="L22" s="514"/>
      <c r="U22" s="674"/>
      <c r="V22" s="357">
        <f t="shared" si="3"/>
        <v>40</v>
      </c>
      <c r="W22" s="370">
        <v>0.26278499999999999</v>
      </c>
      <c r="X22" s="371">
        <v>0.29255750000000003</v>
      </c>
      <c r="Y22" s="372">
        <v>0.32233000000000001</v>
      </c>
      <c r="Z22" s="371">
        <v>0.35210249999999998</v>
      </c>
      <c r="AA22" s="372">
        <v>0.38187500000000002</v>
      </c>
      <c r="AB22" s="371">
        <v>0.4116475</v>
      </c>
      <c r="AC22" s="372">
        <v>0.44141999999999998</v>
      </c>
      <c r="AD22" s="371">
        <v>0.47119250000000001</v>
      </c>
      <c r="AE22" s="372">
        <v>0.50096499999999999</v>
      </c>
      <c r="AF22" s="373">
        <v>0.53073749999999997</v>
      </c>
    </row>
    <row r="23" spans="1:32" ht="26.25" customHeight="1" thickBot="1" x14ac:dyDescent="0.3">
      <c r="A23" s="431">
        <v>23</v>
      </c>
      <c r="B23" s="622"/>
      <c r="C23" s="124" t="s">
        <v>167</v>
      </c>
      <c r="D23" s="387">
        <v>2.8</v>
      </c>
      <c r="E23" s="513" t="s">
        <v>177</v>
      </c>
      <c r="F23" s="514"/>
      <c r="G23" s="514"/>
      <c r="H23" s="514"/>
      <c r="I23" s="514"/>
      <c r="J23" s="514"/>
      <c r="K23" s="514"/>
      <c r="L23" s="514"/>
      <c r="U23" s="674"/>
      <c r="V23" s="356">
        <f t="shared" si="3"/>
        <v>50</v>
      </c>
      <c r="W23" s="323">
        <v>0.33986749999999999</v>
      </c>
      <c r="X23" s="372">
        <v>0.36964000000000002</v>
      </c>
      <c r="Y23" s="324">
        <v>0.3994125</v>
      </c>
      <c r="Z23" s="372">
        <v>0.42918499999999998</v>
      </c>
      <c r="AA23" s="324">
        <v>0.45895750000000002</v>
      </c>
      <c r="AB23" s="372">
        <v>0.48873</v>
      </c>
      <c r="AC23" s="324">
        <v>0.51850249999999998</v>
      </c>
      <c r="AD23" s="372">
        <v>0.54827499999999996</v>
      </c>
      <c r="AE23" s="324">
        <v>0.57804750000000005</v>
      </c>
      <c r="AF23" s="374">
        <v>0.60782000000000003</v>
      </c>
    </row>
    <row r="24" spans="1:32" ht="13.5" customHeight="1" thickBot="1" x14ac:dyDescent="0.3">
      <c r="A24" s="430">
        <v>24</v>
      </c>
      <c r="B24" s="236"/>
      <c r="D24" s="239"/>
      <c r="E24" s="405"/>
      <c r="F24" s="408"/>
      <c r="G24" s="408"/>
      <c r="H24" s="408"/>
      <c r="I24" s="205"/>
      <c r="J24" s="205"/>
      <c r="K24" s="205"/>
      <c r="L24" s="205"/>
      <c r="U24" s="674"/>
      <c r="V24" s="357">
        <f t="shared" si="3"/>
        <v>60</v>
      </c>
      <c r="W24" s="370">
        <v>0.41694999999999999</v>
      </c>
      <c r="X24" s="371">
        <v>0.44672250000000002</v>
      </c>
      <c r="Y24" s="372">
        <v>0.476495</v>
      </c>
      <c r="Z24" s="371">
        <v>0.50626749999999998</v>
      </c>
      <c r="AA24" s="372">
        <v>0.53603999999999996</v>
      </c>
      <c r="AB24" s="371">
        <v>0.56581250000000005</v>
      </c>
      <c r="AC24" s="372">
        <v>0.59558500000000003</v>
      </c>
      <c r="AD24" s="371">
        <v>0.62535750000000001</v>
      </c>
      <c r="AE24" s="372">
        <v>0.65512999999999999</v>
      </c>
      <c r="AF24" s="373">
        <v>0.68489999999999995</v>
      </c>
    </row>
    <row r="25" spans="1:32" ht="33" x14ac:dyDescent="0.25">
      <c r="A25" s="431">
        <v>25</v>
      </c>
      <c r="B25" s="623" t="s">
        <v>82</v>
      </c>
      <c r="C25" s="429" t="s">
        <v>185</v>
      </c>
      <c r="D25" s="377">
        <v>410</v>
      </c>
      <c r="E25" s="658" t="s">
        <v>191</v>
      </c>
      <c r="F25" s="514"/>
      <c r="G25" s="514"/>
      <c r="H25" s="514"/>
      <c r="I25" s="514"/>
      <c r="J25" s="514"/>
      <c r="K25" s="514"/>
      <c r="L25" s="514"/>
      <c r="M25" s="514"/>
      <c r="N25" s="514"/>
      <c r="O25" s="514"/>
      <c r="P25" s="514"/>
      <c r="Q25" s="514"/>
      <c r="R25" s="514"/>
      <c r="U25" s="674"/>
      <c r="V25" s="356">
        <f t="shared" si="3"/>
        <v>70</v>
      </c>
      <c r="W25" s="323">
        <v>0.49403000000000002</v>
      </c>
      <c r="X25" s="372">
        <v>0.52380249999999995</v>
      </c>
      <c r="Y25" s="324">
        <v>0.55357500000000004</v>
      </c>
      <c r="Z25" s="372">
        <v>0.58334750000000002</v>
      </c>
      <c r="AA25" s="324">
        <v>0.61312</v>
      </c>
      <c r="AB25" s="372">
        <v>0.64289249999999998</v>
      </c>
      <c r="AC25" s="324">
        <v>0.67266499999999996</v>
      </c>
      <c r="AD25" s="372">
        <v>0.70243750000000005</v>
      </c>
      <c r="AE25" s="324">
        <v>0.73221000000000003</v>
      </c>
      <c r="AF25" s="374">
        <v>0.76198250000000001</v>
      </c>
    </row>
    <row r="26" spans="1:32" ht="33.75" thickBot="1" x14ac:dyDescent="0.3">
      <c r="A26" s="431">
        <v>26</v>
      </c>
      <c r="B26" s="624"/>
      <c r="C26" s="428" t="s">
        <v>186</v>
      </c>
      <c r="D26" s="388">
        <v>500</v>
      </c>
      <c r="E26" s="204" t="s">
        <v>192</v>
      </c>
      <c r="F26" s="204"/>
      <c r="G26" s="204"/>
      <c r="H26" s="204"/>
      <c r="I26" s="204"/>
      <c r="J26" s="204"/>
      <c r="K26" s="204"/>
      <c r="L26" s="204"/>
      <c r="U26" s="674"/>
      <c r="V26" s="357">
        <f t="shared" si="3"/>
        <v>80</v>
      </c>
      <c r="W26" s="370">
        <v>0.57111250000000002</v>
      </c>
      <c r="X26" s="371">
        <v>0.600885</v>
      </c>
      <c r="Y26" s="372">
        <v>0.63065749999999998</v>
      </c>
      <c r="Z26" s="371">
        <v>0.66042999999999996</v>
      </c>
      <c r="AA26" s="372">
        <v>0.69020250000000005</v>
      </c>
      <c r="AB26" s="371">
        <v>0.71997500000000003</v>
      </c>
      <c r="AC26" s="372">
        <v>0.74974750000000001</v>
      </c>
      <c r="AD26" s="371">
        <v>0.77951999999999999</v>
      </c>
      <c r="AE26" s="372">
        <v>0.80929249999999997</v>
      </c>
      <c r="AF26" s="373">
        <v>0.83906499999999995</v>
      </c>
    </row>
    <row r="27" spans="1:32" ht="17.25" customHeight="1" thickBot="1" x14ac:dyDescent="0.3">
      <c r="A27" s="430">
        <v>27</v>
      </c>
      <c r="B27" s="236"/>
      <c r="D27" s="239"/>
      <c r="E27" s="405"/>
      <c r="F27" s="408"/>
      <c r="G27" s="408"/>
      <c r="H27" s="408"/>
      <c r="I27" s="205"/>
      <c r="J27" s="205"/>
      <c r="K27" s="205"/>
      <c r="L27" s="205"/>
      <c r="U27" s="675"/>
      <c r="V27" s="358">
        <f t="shared" si="3"/>
        <v>90</v>
      </c>
      <c r="W27" s="329">
        <v>0.64819499999999997</v>
      </c>
      <c r="X27" s="375">
        <v>0.67796500000000004</v>
      </c>
      <c r="Y27" s="330">
        <v>0.70773750000000002</v>
      </c>
      <c r="Z27" s="375">
        <v>0.73751</v>
      </c>
      <c r="AA27" s="330">
        <v>0.76728249999999998</v>
      </c>
      <c r="AB27" s="375">
        <v>0.79705499999999996</v>
      </c>
      <c r="AC27" s="330">
        <v>0.82682750000000005</v>
      </c>
      <c r="AD27" s="375">
        <v>0.85660000000000003</v>
      </c>
      <c r="AE27" s="330">
        <v>0.88637250000000001</v>
      </c>
      <c r="AF27" s="376">
        <v>0.91614499999999999</v>
      </c>
    </row>
    <row r="28" spans="1:32" ht="33.75" thickBot="1" x14ac:dyDescent="0.3">
      <c r="A28" s="431">
        <v>28</v>
      </c>
      <c r="B28" s="625" t="s">
        <v>83</v>
      </c>
      <c r="C28" s="254" t="s">
        <v>193</v>
      </c>
      <c r="D28" s="382">
        <v>12</v>
      </c>
      <c r="E28" s="514" t="s">
        <v>117</v>
      </c>
      <c r="F28" s="514"/>
      <c r="G28" s="514"/>
      <c r="H28" s="514"/>
      <c r="I28" s="514"/>
      <c r="J28" s="514"/>
      <c r="K28" s="514"/>
      <c r="L28" s="514"/>
    </row>
    <row r="29" spans="1:32" ht="33.75" thickBot="1" x14ac:dyDescent="0.3">
      <c r="A29" s="431">
        <v>29</v>
      </c>
      <c r="B29" s="626"/>
      <c r="C29" s="118" t="s">
        <v>194</v>
      </c>
      <c r="D29" s="383">
        <v>12</v>
      </c>
      <c r="E29" s="514" t="s">
        <v>118</v>
      </c>
      <c r="F29" s="514"/>
      <c r="G29" s="514"/>
      <c r="H29" s="514"/>
      <c r="I29" s="514"/>
      <c r="J29" s="514"/>
      <c r="K29" s="514"/>
      <c r="L29" s="514"/>
      <c r="U29" s="676" t="s">
        <v>211</v>
      </c>
      <c r="V29" s="677"/>
      <c r="W29" s="677"/>
      <c r="X29" s="677"/>
      <c r="Y29" s="677"/>
      <c r="Z29" s="677"/>
      <c r="AA29" s="677"/>
      <c r="AB29" s="677"/>
      <c r="AC29" s="677"/>
      <c r="AD29" s="677"/>
      <c r="AE29" s="677"/>
      <c r="AF29" s="678"/>
    </row>
    <row r="30" spans="1:32" ht="33.75" thickBot="1" x14ac:dyDescent="0.3">
      <c r="A30" s="431">
        <v>30</v>
      </c>
      <c r="B30" s="626"/>
      <c r="C30" s="120" t="s">
        <v>195</v>
      </c>
      <c r="D30" s="436">
        <v>240</v>
      </c>
      <c r="E30" s="514" t="s">
        <v>117</v>
      </c>
      <c r="F30" s="514"/>
      <c r="G30" s="514"/>
      <c r="H30" s="514"/>
      <c r="I30" s="514"/>
      <c r="J30" s="514"/>
      <c r="K30" s="514"/>
      <c r="L30" s="514"/>
      <c r="U30" s="177"/>
      <c r="V30" s="178"/>
      <c r="W30" s="679" t="s">
        <v>26</v>
      </c>
      <c r="X30" s="680"/>
      <c r="Y30" s="680"/>
      <c r="Z30" s="680"/>
      <c r="AA30" s="680"/>
      <c r="AB30" s="680"/>
      <c r="AC30" s="680"/>
      <c r="AD30" s="680"/>
      <c r="AE30" s="680"/>
      <c r="AF30" s="681"/>
    </row>
    <row r="31" spans="1:32" ht="33.75" thickBot="1" x14ac:dyDescent="0.3">
      <c r="A31" s="431">
        <v>31</v>
      </c>
      <c r="B31" s="627"/>
      <c r="C31" s="255" t="s">
        <v>196</v>
      </c>
      <c r="D31" s="389">
        <v>150</v>
      </c>
      <c r="E31" s="514" t="s">
        <v>117</v>
      </c>
      <c r="F31" s="514"/>
      <c r="G31" s="514"/>
      <c r="H31" s="514"/>
      <c r="I31" s="514"/>
      <c r="J31" s="514"/>
      <c r="K31" s="514"/>
      <c r="L31" s="514"/>
      <c r="U31" s="179"/>
      <c r="V31" s="180">
        <f>$D$102</f>
        <v>2.1788509829341498</v>
      </c>
      <c r="W31" s="352">
        <v>10</v>
      </c>
      <c r="X31" s="353">
        <f t="shared" ref="X31:AF31" si="4">W31+10</f>
        <v>20</v>
      </c>
      <c r="Y31" s="354">
        <f t="shared" si="4"/>
        <v>30</v>
      </c>
      <c r="Z31" s="353">
        <f t="shared" si="4"/>
        <v>40</v>
      </c>
      <c r="AA31" s="354">
        <f t="shared" si="4"/>
        <v>50</v>
      </c>
      <c r="AB31" s="353">
        <f t="shared" si="4"/>
        <v>60</v>
      </c>
      <c r="AC31" s="354">
        <f t="shared" si="4"/>
        <v>70</v>
      </c>
      <c r="AD31" s="353">
        <f t="shared" si="4"/>
        <v>80</v>
      </c>
      <c r="AE31" s="354">
        <f t="shared" si="4"/>
        <v>90</v>
      </c>
      <c r="AF31" s="355">
        <f t="shared" si="4"/>
        <v>100</v>
      </c>
    </row>
    <row r="32" spans="1:32" ht="17.25" thickBot="1" x14ac:dyDescent="0.3">
      <c r="A32" s="430">
        <v>32</v>
      </c>
      <c r="B32" s="236"/>
      <c r="C32" s="98"/>
      <c r="D32" s="240"/>
      <c r="E32" s="406"/>
      <c r="F32" s="202"/>
      <c r="G32" s="202"/>
      <c r="H32" s="202"/>
      <c r="I32" s="201"/>
      <c r="J32" s="201"/>
      <c r="K32" s="201"/>
      <c r="L32" s="201"/>
      <c r="U32" s="682" t="s">
        <v>27</v>
      </c>
      <c r="V32" s="356">
        <v>10</v>
      </c>
      <c r="W32" s="332">
        <f t="dataTable" ref="W32:AF40" dt2D="1" dtr="1" r1="D38" r2="D46" ca="1"/>
        <v>31.703257509709122</v>
      </c>
      <c r="X32" s="359">
        <v>16.309222865530458</v>
      </c>
      <c r="Y32" s="333">
        <v>10.978454782489365</v>
      </c>
      <c r="Z32" s="359">
        <v>8.2740360747972854</v>
      </c>
      <c r="AA32" s="333">
        <v>6.6386735930161151</v>
      </c>
      <c r="AB32" s="359">
        <v>5.5431604329208302</v>
      </c>
      <c r="AC32" s="333">
        <v>4.7579398120613776</v>
      </c>
      <c r="AD32" s="359">
        <v>4.1675783244251345</v>
      </c>
      <c r="AE32" s="333">
        <v>3.7075485688862524</v>
      </c>
      <c r="AF32" s="360">
        <v>3.3389817775069495</v>
      </c>
    </row>
    <row r="33" spans="1:32" ht="20.25" customHeight="1" x14ac:dyDescent="0.25">
      <c r="A33" s="431">
        <v>33</v>
      </c>
      <c r="B33" s="578" t="s">
        <v>213</v>
      </c>
      <c r="C33" s="254" t="s">
        <v>23</v>
      </c>
      <c r="D33" s="390">
        <v>0.11</v>
      </c>
      <c r="E33" s="514" t="s">
        <v>170</v>
      </c>
      <c r="F33" s="514"/>
      <c r="G33" s="514"/>
      <c r="H33" s="514"/>
      <c r="I33" s="514"/>
      <c r="J33" s="514"/>
      <c r="K33" s="204"/>
      <c r="L33" s="204"/>
      <c r="U33" s="683"/>
      <c r="V33" s="357">
        <f t="shared" ref="V33:V40" si="5">V32+10</f>
        <v>20</v>
      </c>
      <c r="W33" s="361">
        <v>9.2061957697530445</v>
      </c>
      <c r="X33" s="362">
        <v>7.225694569890531</v>
      </c>
      <c r="Y33" s="363">
        <v>5.9464521979573934</v>
      </c>
      <c r="Z33" s="362">
        <v>5.0520359704961102</v>
      </c>
      <c r="AA33" s="363">
        <v>4.3915024427732341</v>
      </c>
      <c r="AB33" s="362">
        <v>3.8837213818280678</v>
      </c>
      <c r="AC33" s="363">
        <v>3.4811971837114783</v>
      </c>
      <c r="AD33" s="362">
        <v>3.1542756206037286</v>
      </c>
      <c r="AE33" s="363">
        <v>2.8834855573417149</v>
      </c>
      <c r="AF33" s="364">
        <v>2.6555135099249818</v>
      </c>
    </row>
    <row r="34" spans="1:32" ht="20.25" customHeight="1" x14ac:dyDescent="0.25">
      <c r="A34" s="431">
        <v>34</v>
      </c>
      <c r="B34" s="579"/>
      <c r="C34" s="118" t="s">
        <v>172</v>
      </c>
      <c r="D34" s="416">
        <v>0.1</v>
      </c>
      <c r="E34" s="514" t="s">
        <v>171</v>
      </c>
      <c r="F34" s="514"/>
      <c r="G34" s="514"/>
      <c r="H34" s="514"/>
      <c r="I34" s="514"/>
      <c r="J34" s="514"/>
      <c r="K34" s="204"/>
      <c r="L34" s="204"/>
      <c r="U34" s="683"/>
      <c r="V34" s="356">
        <f t="shared" si="5"/>
        <v>30</v>
      </c>
      <c r="W34" s="337">
        <v>5.3848846288468266</v>
      </c>
      <c r="X34" s="363">
        <v>4.6408557738046898</v>
      </c>
      <c r="Y34" s="75">
        <v>4.077471967380224</v>
      </c>
      <c r="Z34" s="363">
        <v>3.6360661400430874</v>
      </c>
      <c r="AA34" s="75">
        <v>3.2808937154480882</v>
      </c>
      <c r="AB34" s="363">
        <v>2.9889334738132067</v>
      </c>
      <c r="AC34" s="75">
        <v>2.7446890267332713</v>
      </c>
      <c r="AD34" s="363">
        <v>2.537346569824606</v>
      </c>
      <c r="AE34" s="75">
        <v>2.35913042452552</v>
      </c>
      <c r="AF34" s="365">
        <v>2.204306111989772</v>
      </c>
    </row>
    <row r="35" spans="1:32" ht="20.25" customHeight="1" x14ac:dyDescent="0.25">
      <c r="A35" s="431">
        <v>35</v>
      </c>
      <c r="B35" s="579"/>
      <c r="C35" s="120" t="s">
        <v>104</v>
      </c>
      <c r="D35" s="383">
        <v>5</v>
      </c>
      <c r="E35" s="514" t="s">
        <v>171</v>
      </c>
      <c r="F35" s="514"/>
      <c r="G35" s="514"/>
      <c r="H35" s="514"/>
      <c r="I35" s="514"/>
      <c r="J35" s="514"/>
      <c r="K35" s="204"/>
      <c r="L35" s="204"/>
      <c r="U35" s="683"/>
      <c r="V35" s="357">
        <f t="shared" si="5"/>
        <v>40</v>
      </c>
      <c r="W35" s="361">
        <v>3.805392240805221</v>
      </c>
      <c r="X35" s="362">
        <v>3.4181314784273176</v>
      </c>
      <c r="Y35" s="363">
        <v>3.1024105730152329</v>
      </c>
      <c r="Z35" s="362">
        <v>2.8400820783720651</v>
      </c>
      <c r="AA35" s="363">
        <v>2.6186579378068742</v>
      </c>
      <c r="AB35" s="362">
        <v>2.429262900904293</v>
      </c>
      <c r="AC35" s="363">
        <v>2.2654161569480316</v>
      </c>
      <c r="AD35" s="362">
        <v>2.1222748664293256</v>
      </c>
      <c r="AE35" s="363">
        <v>1.9961474354495823</v>
      </c>
      <c r="AF35" s="364">
        <v>1.8841706116488848</v>
      </c>
    </row>
    <row r="36" spans="1:32" ht="20.25" customHeight="1" thickBot="1" x14ac:dyDescent="0.3">
      <c r="A36" s="431">
        <v>36</v>
      </c>
      <c r="B36" s="580"/>
      <c r="C36" s="255" t="s">
        <v>102</v>
      </c>
      <c r="D36" s="389">
        <v>25000</v>
      </c>
      <c r="E36" s="514" t="s">
        <v>171</v>
      </c>
      <c r="F36" s="514"/>
      <c r="G36" s="514"/>
      <c r="H36" s="514"/>
      <c r="I36" s="514"/>
      <c r="J36" s="514"/>
      <c r="K36" s="204"/>
      <c r="L36" s="204"/>
      <c r="U36" s="683"/>
      <c r="V36" s="356">
        <f t="shared" si="5"/>
        <v>50</v>
      </c>
      <c r="W36" s="335">
        <v>2.9423231112124579</v>
      </c>
      <c r="X36" s="363">
        <v>2.7053349204631534</v>
      </c>
      <c r="Y36" s="73">
        <v>2.5036772759991237</v>
      </c>
      <c r="Z36" s="363">
        <v>2.3299975535025688</v>
      </c>
      <c r="AA36" s="73">
        <v>2.1788509829341498</v>
      </c>
      <c r="AB36" s="363">
        <v>2.0461195343031942</v>
      </c>
      <c r="AC36" s="73">
        <v>1.928631009493686</v>
      </c>
      <c r="AD36" s="363">
        <v>1.8239022388399981</v>
      </c>
      <c r="AE36" s="73">
        <v>1.729961638100675</v>
      </c>
      <c r="AF36" s="365">
        <v>1.645223914974828</v>
      </c>
    </row>
    <row r="37" spans="1:32" ht="20.25" customHeight="1" thickBot="1" x14ac:dyDescent="0.3">
      <c r="A37" s="430">
        <v>37</v>
      </c>
      <c r="B37" s="237"/>
      <c r="C37" s="98"/>
      <c r="D37" s="241"/>
      <c r="E37" s="406"/>
      <c r="F37" s="202"/>
      <c r="G37" s="202"/>
      <c r="H37" s="202"/>
      <c r="I37" s="201"/>
      <c r="J37" s="201"/>
      <c r="K37" s="201"/>
      <c r="L37" s="201"/>
      <c r="U37" s="683"/>
      <c r="V37" s="357">
        <f t="shared" si="5"/>
        <v>60</v>
      </c>
      <c r="W37" s="361">
        <v>2.3983691090058761</v>
      </c>
      <c r="X37" s="362">
        <v>2.2385261543799562</v>
      </c>
      <c r="Y37" s="363">
        <v>2.0986579082676626</v>
      </c>
      <c r="Z37" s="362">
        <v>1.9752403620615584</v>
      </c>
      <c r="AA37" s="363">
        <v>1.8655324229535108</v>
      </c>
      <c r="AB37" s="362">
        <v>1.7673699326190213</v>
      </c>
      <c r="AC37" s="363">
        <v>1.6790214662894465</v>
      </c>
      <c r="AD37" s="362">
        <v>1.5990853231951323</v>
      </c>
      <c r="AE37" s="363">
        <v>1.5264146047349381</v>
      </c>
      <c r="AF37" s="364">
        <v>1.4600671630895021</v>
      </c>
    </row>
    <row r="38" spans="1:32" ht="17.25" customHeight="1" thickBot="1" x14ac:dyDescent="0.3">
      <c r="A38" s="431">
        <v>38</v>
      </c>
      <c r="B38" s="600" t="s">
        <v>144</v>
      </c>
      <c r="C38" s="249" t="s">
        <v>87</v>
      </c>
      <c r="D38" s="391">
        <v>50</v>
      </c>
      <c r="E38" s="523" t="s">
        <v>119</v>
      </c>
      <c r="F38" s="523"/>
      <c r="G38" s="523"/>
      <c r="H38" s="204"/>
      <c r="I38" s="204"/>
      <c r="J38" s="204"/>
      <c r="K38" s="204"/>
      <c r="L38" s="204"/>
      <c r="U38" s="683"/>
      <c r="V38" s="356">
        <f t="shared" si="5"/>
        <v>70</v>
      </c>
      <c r="W38" s="335">
        <v>2.0241685727587395</v>
      </c>
      <c r="X38" s="363">
        <v>1.9091165086077291</v>
      </c>
      <c r="Y38" s="73">
        <v>1.8064399584518809</v>
      </c>
      <c r="Z38" s="363">
        <v>1.7142440826437073</v>
      </c>
      <c r="AA38" s="73">
        <v>1.6310020876826723</v>
      </c>
      <c r="AB38" s="363">
        <v>1.5554700047052967</v>
      </c>
      <c r="AC38" s="73">
        <v>1.4866240996632796</v>
      </c>
      <c r="AD38" s="363">
        <v>1.4236142005516506</v>
      </c>
      <c r="AE38" s="73">
        <v>1.3657284112481392</v>
      </c>
      <c r="AF38" s="365">
        <v>1.3123660976465994</v>
      </c>
    </row>
    <row r="39" spans="1:32" ht="17.25" customHeight="1" thickBot="1" x14ac:dyDescent="0.3">
      <c r="A39" s="431">
        <v>39</v>
      </c>
      <c r="B39" s="601"/>
      <c r="C39" s="98"/>
      <c r="D39" s="101"/>
      <c r="E39" s="101"/>
      <c r="F39" s="101"/>
      <c r="G39" s="101"/>
      <c r="H39" s="101"/>
      <c r="I39" s="101"/>
      <c r="U39" s="683"/>
      <c r="V39" s="357">
        <f t="shared" si="5"/>
        <v>80</v>
      </c>
      <c r="W39" s="361">
        <v>1.7509685044540262</v>
      </c>
      <c r="X39" s="362">
        <v>1.6642119540344658</v>
      </c>
      <c r="Y39" s="363">
        <v>1.5856467258377169</v>
      </c>
      <c r="Z39" s="362">
        <v>1.5141650137031935</v>
      </c>
      <c r="AA39" s="363">
        <v>1.4488501562947107</v>
      </c>
      <c r="AB39" s="362">
        <v>1.3889371158720789</v>
      </c>
      <c r="AC39" s="363">
        <v>1.3337823733990444</v>
      </c>
      <c r="AD39" s="362">
        <v>1.2828407224958949</v>
      </c>
      <c r="AE39" s="363">
        <v>1.2356471856590787</v>
      </c>
      <c r="AF39" s="364">
        <v>1.1918027804758868</v>
      </c>
    </row>
    <row r="40" spans="1:32" ht="16.5" customHeight="1" thickBot="1" x14ac:dyDescent="0.3">
      <c r="A40" s="431">
        <v>40</v>
      </c>
      <c r="B40" s="601"/>
      <c r="C40" s="247" t="s">
        <v>91</v>
      </c>
      <c r="D40" s="636" t="s">
        <v>8</v>
      </c>
      <c r="E40" s="637"/>
      <c r="F40" s="638" t="s">
        <v>9</v>
      </c>
      <c r="G40" s="639"/>
      <c r="H40" s="685" t="s">
        <v>10</v>
      </c>
      <c r="I40" s="686"/>
      <c r="U40" s="684"/>
      <c r="V40" s="358">
        <f t="shared" si="5"/>
        <v>90</v>
      </c>
      <c r="W40" s="339">
        <v>1.5427456243877229</v>
      </c>
      <c r="X40" s="366">
        <v>1.475002396878895</v>
      </c>
      <c r="Y40" s="340">
        <v>1.4129532489093768</v>
      </c>
      <c r="Z40" s="366">
        <v>1.3559138181177204</v>
      </c>
      <c r="AA40" s="340">
        <v>1.3033009354442464</v>
      </c>
      <c r="AB40" s="366">
        <v>1.2546185645909003</v>
      </c>
      <c r="AC40" s="340">
        <v>1.2094421145885932</v>
      </c>
      <c r="AD40" s="366">
        <v>1.167406023815083</v>
      </c>
      <c r="AE40" s="340">
        <v>1.1281938462666656</v>
      </c>
      <c r="AF40" s="367">
        <v>1.0915302708632366</v>
      </c>
    </row>
    <row r="41" spans="1:32" ht="16.5" customHeight="1" thickBot="1" x14ac:dyDescent="0.3">
      <c r="A41" s="431">
        <v>41</v>
      </c>
      <c r="B41" s="601"/>
      <c r="C41" s="242" t="s">
        <v>88</v>
      </c>
      <c r="D41" s="244" t="s">
        <v>2</v>
      </c>
      <c r="E41" s="245" t="s">
        <v>3</v>
      </c>
      <c r="F41" s="244" t="s">
        <v>2</v>
      </c>
      <c r="G41" s="245" t="s">
        <v>3</v>
      </c>
      <c r="H41" s="244" t="s">
        <v>2</v>
      </c>
      <c r="I41" s="245" t="s">
        <v>3</v>
      </c>
    </row>
    <row r="42" spans="1:32" ht="17.25" customHeight="1" thickBot="1" x14ac:dyDescent="0.3">
      <c r="A42" s="431">
        <v>42</v>
      </c>
      <c r="B42" s="601"/>
      <c r="C42" s="243" t="s">
        <v>140</v>
      </c>
      <c r="D42" s="631">
        <v>0.4</v>
      </c>
      <c r="E42" s="632"/>
      <c r="F42" s="631">
        <v>0.4</v>
      </c>
      <c r="G42" s="632"/>
      <c r="H42" s="631">
        <v>0.4</v>
      </c>
      <c r="I42" s="632"/>
      <c r="J42" s="658" t="s">
        <v>122</v>
      </c>
      <c r="K42" s="514"/>
      <c r="L42" s="514"/>
      <c r="M42" s="514"/>
      <c r="N42" s="514"/>
      <c r="O42" s="514"/>
      <c r="P42" s="514"/>
      <c r="Q42" s="514"/>
      <c r="R42" s="514"/>
      <c r="S42" s="514"/>
      <c r="T42" s="659"/>
      <c r="U42" s="554" t="s">
        <v>212</v>
      </c>
      <c r="V42" s="555"/>
      <c r="W42" s="555"/>
      <c r="X42" s="555"/>
      <c r="Y42" s="555"/>
      <c r="Z42" s="555"/>
      <c r="AA42" s="555"/>
      <c r="AB42" s="555"/>
      <c r="AC42" s="555"/>
      <c r="AD42" s="555"/>
      <c r="AE42" s="555"/>
      <c r="AF42" s="556"/>
    </row>
    <row r="43" spans="1:32" ht="19.5" thickBot="1" x14ac:dyDescent="0.3">
      <c r="A43" s="431">
        <v>43</v>
      </c>
      <c r="B43" s="601"/>
      <c r="C43" s="242" t="s">
        <v>90</v>
      </c>
      <c r="D43" s="392">
        <v>1</v>
      </c>
      <c r="E43" s="393">
        <v>1</v>
      </c>
      <c r="F43" s="392">
        <v>1</v>
      </c>
      <c r="G43" s="393">
        <v>1</v>
      </c>
      <c r="H43" s="392">
        <v>1</v>
      </c>
      <c r="I43" s="393">
        <v>1</v>
      </c>
      <c r="J43" s="658" t="s">
        <v>120</v>
      </c>
      <c r="K43" s="514"/>
      <c r="L43" s="514"/>
      <c r="M43" s="514"/>
      <c r="N43" s="514"/>
      <c r="O43" s="514"/>
      <c r="P43" s="514"/>
      <c r="Q43" s="514"/>
      <c r="R43" s="514"/>
      <c r="S43" s="514"/>
      <c r="T43" s="514"/>
      <c r="U43" s="177"/>
      <c r="V43" s="178"/>
      <c r="W43" s="660" t="s">
        <v>26</v>
      </c>
      <c r="X43" s="661"/>
      <c r="Y43" s="661"/>
      <c r="Z43" s="661"/>
      <c r="AA43" s="661"/>
      <c r="AB43" s="661"/>
      <c r="AC43" s="661"/>
      <c r="AD43" s="661"/>
      <c r="AE43" s="661"/>
      <c r="AF43" s="662"/>
    </row>
    <row r="44" spans="1:32" ht="17.25" thickBot="1" x14ac:dyDescent="0.3">
      <c r="A44" s="431">
        <v>44</v>
      </c>
      <c r="B44" s="602"/>
      <c r="C44" s="248" t="s">
        <v>93</v>
      </c>
      <c r="D44" s="394">
        <v>2.25</v>
      </c>
      <c r="E44" s="395">
        <v>2.25</v>
      </c>
      <c r="F44" s="394">
        <v>9.4E-2</v>
      </c>
      <c r="G44" s="395">
        <v>9.4E-2</v>
      </c>
      <c r="H44" s="394">
        <v>2</v>
      </c>
      <c r="I44" s="395">
        <v>2</v>
      </c>
      <c r="J44" s="658" t="s">
        <v>121</v>
      </c>
      <c r="K44" s="514"/>
      <c r="L44" s="514"/>
      <c r="M44" s="514"/>
      <c r="N44" s="514"/>
      <c r="O44" s="514"/>
      <c r="P44" s="514"/>
      <c r="Q44" s="514"/>
      <c r="R44" s="514"/>
      <c r="S44" s="514"/>
      <c r="T44" s="659"/>
      <c r="U44" s="179"/>
      <c r="V44" s="180">
        <f>$D$104</f>
        <v>613660.25252372597</v>
      </c>
      <c r="W44" s="352">
        <v>10</v>
      </c>
      <c r="X44" s="353">
        <f t="shared" ref="X44:AF44" si="6">W44+10</f>
        <v>20</v>
      </c>
      <c r="Y44" s="354">
        <f t="shared" si="6"/>
        <v>30</v>
      </c>
      <c r="Z44" s="353">
        <f t="shared" si="6"/>
        <v>40</v>
      </c>
      <c r="AA44" s="354">
        <f t="shared" si="6"/>
        <v>50</v>
      </c>
      <c r="AB44" s="353">
        <f t="shared" si="6"/>
        <v>60</v>
      </c>
      <c r="AC44" s="354">
        <f t="shared" si="6"/>
        <v>70</v>
      </c>
      <c r="AD44" s="353">
        <f t="shared" si="6"/>
        <v>80</v>
      </c>
      <c r="AE44" s="354">
        <f t="shared" si="6"/>
        <v>90</v>
      </c>
      <c r="AF44" s="355">
        <f t="shared" si="6"/>
        <v>100</v>
      </c>
    </row>
    <row r="45" spans="1:32" ht="17.25" thickBot="1" x14ac:dyDescent="0.3">
      <c r="A45" s="430">
        <v>45</v>
      </c>
      <c r="U45" s="663" t="s">
        <v>27</v>
      </c>
      <c r="V45" s="356">
        <v>10</v>
      </c>
      <c r="W45" s="184">
        <f t="dataTable" ref="W45:AF53" dt2D="1" dtr="1" r1="D38" r2="D46" ca="1"/>
        <v>-293419.4231670553</v>
      </c>
      <c r="X45" s="346">
        <v>-230234.86098626195</v>
      </c>
      <c r="Y45" s="185">
        <v>-167050.29880546866</v>
      </c>
      <c r="Z45" s="346">
        <v>-103865.73662467529</v>
      </c>
      <c r="AA45" s="185">
        <v>-40681.174443881944</v>
      </c>
      <c r="AB45" s="346">
        <v>22498.082122486943</v>
      </c>
      <c r="AC45" s="185">
        <v>85682.644303280249</v>
      </c>
      <c r="AD45" s="346">
        <v>148867.20648407366</v>
      </c>
      <c r="AE45" s="185">
        <v>212051.76866486698</v>
      </c>
      <c r="AF45" s="348">
        <v>275236.33084566036</v>
      </c>
    </row>
    <row r="46" spans="1:32" ht="17.25" thickBot="1" x14ac:dyDescent="0.3">
      <c r="A46" s="431">
        <v>46</v>
      </c>
      <c r="B46" s="600" t="s">
        <v>145</v>
      </c>
      <c r="C46" s="250" t="s">
        <v>4</v>
      </c>
      <c r="D46" s="396">
        <v>50</v>
      </c>
      <c r="E46" s="523" t="s">
        <v>207</v>
      </c>
      <c r="F46" s="523"/>
      <c r="G46" s="523"/>
      <c r="U46" s="664"/>
      <c r="V46" s="357">
        <f t="shared" ref="V46:V53" si="7">V45+10</f>
        <v>20</v>
      </c>
      <c r="W46" s="343">
        <v>-129836.71923236559</v>
      </c>
      <c r="X46" s="350">
        <v>-66652.157051572183</v>
      </c>
      <c r="Y46" s="344">
        <v>-3467.5948707788666</v>
      </c>
      <c r="Z46" s="350">
        <v>59716.967310014479</v>
      </c>
      <c r="AA46" s="344">
        <v>122901.52949080785</v>
      </c>
      <c r="AB46" s="350">
        <v>186086.0916716012</v>
      </c>
      <c r="AC46" s="344">
        <v>249270.65385239452</v>
      </c>
      <c r="AD46" s="350">
        <v>312455.21603318787</v>
      </c>
      <c r="AE46" s="344">
        <v>375639.77821398119</v>
      </c>
      <c r="AF46" s="351">
        <v>438824.34039477457</v>
      </c>
    </row>
    <row r="47" spans="1:32" s="404" customFormat="1" ht="17.25" thickBot="1" x14ac:dyDescent="0.3">
      <c r="A47" s="431">
        <v>47</v>
      </c>
      <c r="B47" s="601"/>
      <c r="C47" s="98"/>
      <c r="D47" s="417"/>
      <c r="U47" s="664"/>
      <c r="V47" s="356">
        <f t="shared" si="7"/>
        <v>30</v>
      </c>
      <c r="W47" s="189">
        <v>33751.290316748673</v>
      </c>
      <c r="X47" s="344">
        <v>96935.852497541971</v>
      </c>
      <c r="Y47" s="81">
        <v>160120.41467833531</v>
      </c>
      <c r="Z47" s="344">
        <v>223304.97685912874</v>
      </c>
      <c r="AA47" s="81">
        <v>286489.53903992206</v>
      </c>
      <c r="AB47" s="344">
        <v>349674.10122071533</v>
      </c>
      <c r="AC47" s="81">
        <v>412858.6634015087</v>
      </c>
      <c r="AD47" s="344">
        <v>476043.22558230208</v>
      </c>
      <c r="AE47" s="81">
        <v>539227.78776309546</v>
      </c>
      <c r="AF47" s="345">
        <v>602412.34994388872</v>
      </c>
    </row>
    <row r="48" spans="1:32" x14ac:dyDescent="0.25">
      <c r="A48" s="431">
        <v>48</v>
      </c>
      <c r="B48" s="601"/>
      <c r="C48" s="251" t="s">
        <v>91</v>
      </c>
      <c r="D48" s="636" t="s">
        <v>15</v>
      </c>
      <c r="E48" s="637"/>
      <c r="F48" s="638" t="s">
        <v>11</v>
      </c>
      <c r="G48" s="639"/>
      <c r="U48" s="664"/>
      <c r="V48" s="357">
        <f t="shared" si="7"/>
        <v>40</v>
      </c>
      <c r="W48" s="343">
        <v>197333.99425143847</v>
      </c>
      <c r="X48" s="350">
        <v>260518.55643223171</v>
      </c>
      <c r="Y48" s="344">
        <v>323703.11861302512</v>
      </c>
      <c r="Z48" s="350">
        <v>386887.68079381849</v>
      </c>
      <c r="AA48" s="344">
        <v>450072.24297461181</v>
      </c>
      <c r="AB48" s="350">
        <v>513256.80515540525</v>
      </c>
      <c r="AC48" s="344">
        <v>576441.36733619845</v>
      </c>
      <c r="AD48" s="350">
        <v>639625.92951699195</v>
      </c>
      <c r="AE48" s="344">
        <v>702810.49169778521</v>
      </c>
      <c r="AF48" s="351">
        <v>765995.05387857847</v>
      </c>
    </row>
    <row r="49" spans="1:32" x14ac:dyDescent="0.25">
      <c r="A49" s="431">
        <v>49</v>
      </c>
      <c r="B49" s="601"/>
      <c r="C49" s="246" t="s">
        <v>88</v>
      </c>
      <c r="D49" s="244" t="s">
        <v>2</v>
      </c>
      <c r="E49" s="245" t="s">
        <v>3</v>
      </c>
      <c r="F49" s="244" t="s">
        <v>2</v>
      </c>
      <c r="G49" s="245" t="s">
        <v>3</v>
      </c>
      <c r="U49" s="664"/>
      <c r="V49" s="356">
        <f t="shared" si="7"/>
        <v>50</v>
      </c>
      <c r="W49" s="187">
        <v>360922.00380055263</v>
      </c>
      <c r="X49" s="344">
        <v>424106.56598134601</v>
      </c>
      <c r="Y49" s="80">
        <v>487291.12816213927</v>
      </c>
      <c r="Z49" s="344">
        <v>550475.69034293259</v>
      </c>
      <c r="AA49" s="80">
        <v>613660.25252372597</v>
      </c>
      <c r="AB49" s="344">
        <v>676844.81470451935</v>
      </c>
      <c r="AC49" s="80">
        <v>740029.37688531273</v>
      </c>
      <c r="AD49" s="344">
        <v>803213.9390661061</v>
      </c>
      <c r="AE49" s="80">
        <v>866398.50124689937</v>
      </c>
      <c r="AF49" s="345">
        <v>929583.06342769274</v>
      </c>
    </row>
    <row r="50" spans="1:32" x14ac:dyDescent="0.25">
      <c r="A50" s="431">
        <v>50</v>
      </c>
      <c r="B50" s="601"/>
      <c r="C50" s="252" t="s">
        <v>89</v>
      </c>
      <c r="D50" s="654">
        <v>0.4</v>
      </c>
      <c r="E50" s="655"/>
      <c r="F50" s="656">
        <v>0.4</v>
      </c>
      <c r="G50" s="657"/>
      <c r="H50" s="658" t="s">
        <v>122</v>
      </c>
      <c r="I50" s="514"/>
      <c r="J50" s="514"/>
      <c r="K50" s="514"/>
      <c r="L50" s="514"/>
      <c r="M50" s="514"/>
      <c r="N50" s="514"/>
      <c r="O50" s="514"/>
      <c r="P50" s="514"/>
      <c r="Q50" s="514"/>
      <c r="R50" s="514"/>
      <c r="S50" s="514"/>
      <c r="U50" s="664"/>
      <c r="V50" s="357">
        <f t="shared" si="7"/>
        <v>60</v>
      </c>
      <c r="W50" s="343">
        <v>524510.01334966673</v>
      </c>
      <c r="X50" s="350">
        <v>587694.57553046022</v>
      </c>
      <c r="Y50" s="344">
        <v>650879.13771125348</v>
      </c>
      <c r="Z50" s="350">
        <v>714063.69989204686</v>
      </c>
      <c r="AA50" s="344">
        <v>777248.26207284024</v>
      </c>
      <c r="AB50" s="350">
        <v>840432.82425363362</v>
      </c>
      <c r="AC50" s="344">
        <v>903617.38643442688</v>
      </c>
      <c r="AD50" s="350">
        <v>966801.94861522014</v>
      </c>
      <c r="AE50" s="344">
        <v>1029986.5107960136</v>
      </c>
      <c r="AF50" s="351">
        <v>1093165.7673623825</v>
      </c>
    </row>
    <row r="51" spans="1:32" x14ac:dyDescent="0.25">
      <c r="A51" s="431">
        <v>51</v>
      </c>
      <c r="B51" s="601"/>
      <c r="C51" s="246" t="s">
        <v>90</v>
      </c>
      <c r="D51" s="437">
        <v>4</v>
      </c>
      <c r="E51" s="440">
        <v>4</v>
      </c>
      <c r="F51" s="443">
        <v>2</v>
      </c>
      <c r="G51" s="444">
        <v>2</v>
      </c>
      <c r="H51" s="514" t="s">
        <v>120</v>
      </c>
      <c r="I51" s="514"/>
      <c r="J51" s="514"/>
      <c r="K51" s="514"/>
      <c r="L51" s="514"/>
      <c r="M51" s="514"/>
      <c r="N51" s="514"/>
      <c r="O51" s="514"/>
      <c r="P51" s="514"/>
      <c r="Q51" s="514"/>
      <c r="R51" s="514"/>
      <c r="S51" s="514"/>
      <c r="U51" s="664"/>
      <c r="V51" s="356">
        <f t="shared" si="7"/>
        <v>70</v>
      </c>
      <c r="W51" s="187">
        <v>688092.71728435659</v>
      </c>
      <c r="X51" s="344">
        <v>751277.27946514997</v>
      </c>
      <c r="Y51" s="80">
        <v>814461.84164594312</v>
      </c>
      <c r="Z51" s="344">
        <v>877646.40382673661</v>
      </c>
      <c r="AA51" s="80">
        <v>940830.96600752999</v>
      </c>
      <c r="AB51" s="344">
        <v>1004015.5281883234</v>
      </c>
      <c r="AC51" s="80">
        <v>1067200.0903691165</v>
      </c>
      <c r="AD51" s="344">
        <v>1130384.6525499097</v>
      </c>
      <c r="AE51" s="80">
        <v>1193569.2147307035</v>
      </c>
      <c r="AF51" s="345">
        <v>1256753.7769114969</v>
      </c>
    </row>
    <row r="52" spans="1:32" ht="17.25" thickBot="1" x14ac:dyDescent="0.3">
      <c r="A52" s="431">
        <v>52</v>
      </c>
      <c r="B52" s="602"/>
      <c r="C52" s="253" t="s">
        <v>92</v>
      </c>
      <c r="D52" s="441">
        <v>0.4</v>
      </c>
      <c r="E52" s="442">
        <v>0.4</v>
      </c>
      <c r="F52" s="438">
        <v>0.5</v>
      </c>
      <c r="G52" s="439">
        <v>0.5</v>
      </c>
      <c r="H52" s="514" t="s">
        <v>121</v>
      </c>
      <c r="I52" s="514"/>
      <c r="J52" s="514"/>
      <c r="K52" s="514"/>
      <c r="L52" s="514"/>
      <c r="M52" s="514"/>
      <c r="N52" s="514"/>
      <c r="O52" s="514"/>
      <c r="P52" s="514"/>
      <c r="Q52" s="514"/>
      <c r="R52" s="514"/>
      <c r="S52" s="514"/>
      <c r="U52" s="664"/>
      <c r="V52" s="357">
        <f t="shared" si="7"/>
        <v>80</v>
      </c>
      <c r="W52" s="343">
        <v>851680.72683347086</v>
      </c>
      <c r="X52" s="350">
        <v>914865.28901426424</v>
      </c>
      <c r="Y52" s="344">
        <v>978049.8511950575</v>
      </c>
      <c r="Z52" s="350">
        <v>1041234.4133758508</v>
      </c>
      <c r="AA52" s="344">
        <v>1104418.9755566439</v>
      </c>
      <c r="AB52" s="350">
        <v>1167603.5377374375</v>
      </c>
      <c r="AC52" s="344">
        <v>1230788.0999182309</v>
      </c>
      <c r="AD52" s="350">
        <v>1293972.6620990243</v>
      </c>
      <c r="AE52" s="344">
        <v>1357157.2242798177</v>
      </c>
      <c r="AF52" s="351">
        <v>1420341.7864606106</v>
      </c>
    </row>
    <row r="53" spans="1:32" ht="17.25" thickBot="1" x14ac:dyDescent="0.3">
      <c r="A53" s="430">
        <v>53</v>
      </c>
      <c r="C53" s="98"/>
      <c r="D53" s="88"/>
      <c r="E53" s="88"/>
      <c r="F53" s="88"/>
      <c r="G53" s="88"/>
      <c r="U53" s="665"/>
      <c r="V53" s="358">
        <f t="shared" si="7"/>
        <v>90</v>
      </c>
      <c r="W53" s="191">
        <v>1015268.7363825849</v>
      </c>
      <c r="X53" s="347">
        <v>1078447.992948954</v>
      </c>
      <c r="Y53" s="192">
        <v>1141632.5551297471</v>
      </c>
      <c r="Z53" s="347">
        <v>1204817.1173105405</v>
      </c>
      <c r="AA53" s="192">
        <v>1268001.6794913339</v>
      </c>
      <c r="AB53" s="347">
        <v>1331186.2416721273</v>
      </c>
      <c r="AC53" s="192">
        <v>1394370.8038529209</v>
      </c>
      <c r="AD53" s="347">
        <v>1457555.3660337138</v>
      </c>
      <c r="AE53" s="192">
        <v>1520739.9282145074</v>
      </c>
      <c r="AF53" s="349">
        <v>1583924.4903953006</v>
      </c>
    </row>
    <row r="54" spans="1:32" ht="43.5" thickBot="1" x14ac:dyDescent="0.3">
      <c r="A54" s="431">
        <v>54</v>
      </c>
      <c r="B54" s="586" t="s">
        <v>143</v>
      </c>
      <c r="C54" s="445" t="s">
        <v>109</v>
      </c>
      <c r="D54" s="446" t="s">
        <v>110</v>
      </c>
      <c r="E54" s="447" t="s">
        <v>201</v>
      </c>
      <c r="F54" s="448" t="s">
        <v>202</v>
      </c>
      <c r="H54" s="88"/>
      <c r="I54" s="88"/>
    </row>
    <row r="55" spans="1:32" ht="17.25" customHeight="1" x14ac:dyDescent="0.25">
      <c r="A55" s="431">
        <v>55</v>
      </c>
      <c r="B55" s="587"/>
      <c r="C55" s="641" t="s">
        <v>8</v>
      </c>
      <c r="D55" s="286" t="s">
        <v>2</v>
      </c>
      <c r="E55" s="159">
        <f>D38*D44*D43</f>
        <v>112.5</v>
      </c>
      <c r="F55" s="256">
        <f>$D$38/$D$22*D43</f>
        <v>7.1428571428571432</v>
      </c>
      <c r="G55" s="543" t="str">
        <f>_xlfn.CONCAT("Total volume of ",C55," and hours of tractor used for its application with a conventional and optical sprayer during the entire season")</f>
        <v>Total volume of Lorox and hours of tractor used for its application with a conventional and optical sprayer during the entire season</v>
      </c>
      <c r="H55" s="543"/>
      <c r="I55" s="543"/>
      <c r="J55" s="543"/>
      <c r="K55" s="543"/>
      <c r="L55" s="543"/>
      <c r="M55" s="543"/>
      <c r="N55" s="543"/>
      <c r="O55" s="543"/>
      <c r="P55" s="543"/>
      <c r="Q55" s="402"/>
    </row>
    <row r="56" spans="1:32" ht="17.25" customHeight="1" thickBot="1" x14ac:dyDescent="0.3">
      <c r="A56" s="431">
        <v>56</v>
      </c>
      <c r="B56" s="587"/>
      <c r="C56" s="642"/>
      <c r="D56" s="287" t="s">
        <v>3</v>
      </c>
      <c r="E56" s="162">
        <f>$D$38*D42*E44*E43</f>
        <v>45</v>
      </c>
      <c r="F56" s="257">
        <f>$D$38/$D$23*E43</f>
        <v>17.857142857142858</v>
      </c>
      <c r="G56" s="543"/>
      <c r="H56" s="543"/>
      <c r="I56" s="543"/>
      <c r="J56" s="543"/>
      <c r="K56" s="543"/>
      <c r="L56" s="543"/>
      <c r="M56" s="543"/>
      <c r="N56" s="543"/>
      <c r="O56" s="409"/>
      <c r="P56" s="402"/>
      <c r="Q56" s="402"/>
    </row>
    <row r="57" spans="1:32" ht="17.25" customHeight="1" x14ac:dyDescent="0.25">
      <c r="A57" s="431">
        <v>57</v>
      </c>
      <c r="B57" s="587"/>
      <c r="C57" s="640" t="s">
        <v>9</v>
      </c>
      <c r="D57" s="288" t="s">
        <v>2</v>
      </c>
      <c r="E57" s="172">
        <f>D38*F44*F43</f>
        <v>4.7</v>
      </c>
      <c r="F57" s="258">
        <f>$D$38/$D$22*F43</f>
        <v>7.1428571428571432</v>
      </c>
      <c r="G57" s="543" t="str">
        <f t="shared" ref="G57" si="8">_xlfn.CONCAT("Total volume of ",C57," and hours of tractor used for its application with a conventional and optical sprayer during the entire season")</f>
        <v>Total volume of Ultra blazer and hours of tractor used for its application with a conventional and optical sprayer during the entire season</v>
      </c>
      <c r="H57" s="543"/>
      <c r="I57" s="543"/>
      <c r="J57" s="543"/>
      <c r="K57" s="543"/>
      <c r="L57" s="543"/>
      <c r="M57" s="543"/>
      <c r="N57" s="543"/>
      <c r="O57" s="543"/>
      <c r="P57" s="543"/>
      <c r="Q57" s="402"/>
    </row>
    <row r="58" spans="1:32" ht="17.25" customHeight="1" thickBot="1" x14ac:dyDescent="0.3">
      <c r="A58" s="431">
        <v>58</v>
      </c>
      <c r="B58" s="587"/>
      <c r="C58" s="640"/>
      <c r="D58" s="289" t="s">
        <v>3</v>
      </c>
      <c r="E58" s="175">
        <f>$D$38*F42*G44*G43</f>
        <v>1.88</v>
      </c>
      <c r="F58" s="259">
        <f>$D$38/$D$23*G43</f>
        <v>17.857142857142858</v>
      </c>
      <c r="G58" s="543"/>
      <c r="H58" s="543"/>
      <c r="I58" s="543"/>
      <c r="J58" s="543"/>
      <c r="K58" s="543"/>
      <c r="L58" s="543"/>
      <c r="M58" s="543"/>
      <c r="N58" s="543"/>
      <c r="O58" s="409"/>
      <c r="P58" s="402"/>
      <c r="Q58" s="402"/>
    </row>
    <row r="59" spans="1:32" ht="17.25" customHeight="1" x14ac:dyDescent="0.25">
      <c r="A59" s="431">
        <v>59</v>
      </c>
      <c r="B59" s="587"/>
      <c r="C59" s="641" t="s">
        <v>10</v>
      </c>
      <c r="D59" s="286" t="s">
        <v>2</v>
      </c>
      <c r="E59" s="159">
        <f>D38*H44*H43</f>
        <v>100</v>
      </c>
      <c r="F59" s="318">
        <v>0</v>
      </c>
      <c r="G59" s="543" t="str">
        <f>_xlfn.CONCAT("Total volume of ",C59," with a conventional and optical sprayer during the entire season")</f>
        <v>Total volume of Assist with a conventional and optical sprayer during the entire season</v>
      </c>
      <c r="H59" s="543"/>
      <c r="I59" s="543"/>
      <c r="J59" s="543"/>
      <c r="K59" s="543"/>
      <c r="L59" s="543"/>
      <c r="M59" s="543"/>
      <c r="N59" s="543"/>
      <c r="O59" s="543"/>
      <c r="P59" s="543"/>
      <c r="Q59" s="402"/>
    </row>
    <row r="60" spans="1:32" ht="17.25" customHeight="1" thickBot="1" x14ac:dyDescent="0.3">
      <c r="A60" s="431">
        <v>60</v>
      </c>
      <c r="B60" s="587"/>
      <c r="C60" s="642"/>
      <c r="D60" s="290" t="s">
        <v>3</v>
      </c>
      <c r="E60" s="165">
        <f>$D$38*H42*I44*I43</f>
        <v>40</v>
      </c>
      <c r="F60" s="319">
        <v>0</v>
      </c>
      <c r="G60" s="543"/>
      <c r="H60" s="543"/>
      <c r="I60" s="543"/>
      <c r="J60" s="543"/>
      <c r="K60" s="543"/>
      <c r="L60" s="543"/>
      <c r="M60" s="543"/>
      <c r="N60" s="543"/>
      <c r="O60" s="409"/>
      <c r="P60" s="402"/>
      <c r="Q60" s="402"/>
    </row>
    <row r="61" spans="1:32" ht="17.25" customHeight="1" x14ac:dyDescent="0.25">
      <c r="A61" s="431">
        <v>61</v>
      </c>
      <c r="B61" s="587"/>
      <c r="C61" s="640" t="s">
        <v>15</v>
      </c>
      <c r="D61" s="288" t="s">
        <v>2</v>
      </c>
      <c r="E61" s="172">
        <f>D46*D52*D51</f>
        <v>80</v>
      </c>
      <c r="F61" s="258">
        <f>$D$46/$D$22*D51</f>
        <v>28.571428571428573</v>
      </c>
      <c r="G61" s="409" t="str">
        <f t="shared" ref="G61" si="9">_xlfn.CONCAT("Total volume of ",C61," and hours of tractor used for its application with a conventional and optical sprayer during the entire season")</f>
        <v>Total volume of Goal and hours of tractor used for its application with a conventional and optical sprayer during the entire season</v>
      </c>
      <c r="H61" s="409"/>
      <c r="I61" s="409"/>
      <c r="J61" s="409"/>
      <c r="K61" s="409"/>
      <c r="L61" s="409"/>
      <c r="M61" s="409"/>
      <c r="N61" s="409"/>
      <c r="O61" s="409"/>
      <c r="P61" s="402"/>
      <c r="Q61" s="402"/>
    </row>
    <row r="62" spans="1:32" ht="17.25" customHeight="1" thickBot="1" x14ac:dyDescent="0.3">
      <c r="A62" s="431">
        <v>62</v>
      </c>
      <c r="B62" s="587"/>
      <c r="C62" s="640"/>
      <c r="D62" s="289" t="s">
        <v>3</v>
      </c>
      <c r="E62" s="175">
        <f>$D$46*D50*E52*E51</f>
        <v>32</v>
      </c>
      <c r="F62" s="259">
        <f>$D$46/$D$23*E51</f>
        <v>71.428571428571431</v>
      </c>
      <c r="G62" s="543"/>
      <c r="H62" s="543"/>
      <c r="I62" s="543"/>
      <c r="J62" s="543"/>
      <c r="K62" s="543"/>
      <c r="L62" s="543"/>
      <c r="M62" s="543"/>
      <c r="N62" s="543"/>
      <c r="O62" s="409"/>
      <c r="P62" s="402"/>
      <c r="Q62" s="402"/>
    </row>
    <row r="63" spans="1:32" ht="17.25" customHeight="1" x14ac:dyDescent="0.25">
      <c r="A63" s="431">
        <v>63</v>
      </c>
      <c r="B63" s="587"/>
      <c r="C63" s="641" t="s">
        <v>11</v>
      </c>
      <c r="D63" s="286" t="s">
        <v>2</v>
      </c>
      <c r="E63" s="159">
        <f>D46*F52*F51</f>
        <v>50</v>
      </c>
      <c r="F63" s="256">
        <f>$D$46/$D$22*F51</f>
        <v>14.285714285714286</v>
      </c>
      <c r="G63" s="543" t="str">
        <f>_xlfn.CONCAT("Total volume of ",C63," and hours of tractor used for its application with a conventional and optical sprayer during the entire season")</f>
        <v>Total volume of Pardner and hours of tractor used for its application with a conventional and optical sprayer during the entire season</v>
      </c>
      <c r="H63" s="543"/>
      <c r="I63" s="543"/>
      <c r="J63" s="543"/>
      <c r="K63" s="543"/>
      <c r="L63" s="543"/>
      <c r="M63" s="543"/>
      <c r="N63" s="543"/>
      <c r="O63" s="543"/>
      <c r="P63" s="543"/>
      <c r="Q63" s="543"/>
    </row>
    <row r="64" spans="1:32" ht="17.25" customHeight="1" thickBot="1" x14ac:dyDescent="0.3">
      <c r="A64" s="431">
        <v>64</v>
      </c>
      <c r="B64" s="588"/>
      <c r="C64" s="643"/>
      <c r="D64" s="291" t="s">
        <v>3</v>
      </c>
      <c r="E64" s="260">
        <f>$D$46*F50*G52*G51</f>
        <v>20</v>
      </c>
      <c r="F64" s="261">
        <f>$D$46/$D$23*G51</f>
        <v>35.714285714285715</v>
      </c>
      <c r="G64" s="543"/>
      <c r="H64" s="543"/>
      <c r="I64" s="543"/>
      <c r="J64" s="543"/>
      <c r="K64" s="543"/>
      <c r="L64" s="543"/>
      <c r="M64" s="543"/>
      <c r="N64" s="543"/>
      <c r="O64" s="409"/>
    </row>
    <row r="65" spans="1:18" ht="17.25" customHeight="1" thickBot="1" x14ac:dyDescent="0.3">
      <c r="A65" s="430">
        <v>65</v>
      </c>
      <c r="B65" s="237"/>
      <c r="C65" s="98"/>
      <c r="D65" s="417"/>
      <c r="F65" s="417"/>
      <c r="G65" s="417"/>
      <c r="H65" s="88"/>
    </row>
    <row r="66" spans="1:18" ht="32.25" customHeight="1" thickBot="1" x14ac:dyDescent="0.3">
      <c r="A66" s="431">
        <v>66</v>
      </c>
      <c r="B66" s="600" t="s">
        <v>94</v>
      </c>
      <c r="C66" s="432" t="s">
        <v>109</v>
      </c>
      <c r="D66" s="315" t="s">
        <v>110</v>
      </c>
      <c r="E66" s="316" t="s">
        <v>203</v>
      </c>
      <c r="F66" s="316" t="s">
        <v>204</v>
      </c>
      <c r="G66" s="317" t="s">
        <v>111</v>
      </c>
    </row>
    <row r="67" spans="1:18" ht="15" customHeight="1" x14ac:dyDescent="0.25">
      <c r="A67" s="431">
        <v>67</v>
      </c>
      <c r="B67" s="601"/>
      <c r="C67" s="611" t="s">
        <v>8</v>
      </c>
      <c r="D67" s="158" t="s">
        <v>2</v>
      </c>
      <c r="E67" s="167">
        <f>E55*D9</f>
        <v>4050</v>
      </c>
      <c r="F67" s="168">
        <f>F55*$D$5</f>
        <v>1785.7142857142858</v>
      </c>
      <c r="G67" s="262">
        <f t="shared" ref="G67:G76" si="10">SUM(E67:F67)</f>
        <v>5835.7142857142862</v>
      </c>
      <c r="H67" s="617" t="str">
        <f>_xlfn.CONCAT("Total costs of ",C67," application with a conventional and optical sprayer during the entire season")</f>
        <v>Total costs of Lorox application with a conventional and optical sprayer during the entire season</v>
      </c>
      <c r="I67" s="543"/>
      <c r="J67" s="543"/>
      <c r="K67" s="543"/>
      <c r="L67" s="543"/>
      <c r="M67" s="543"/>
      <c r="N67" s="543"/>
      <c r="O67" s="543"/>
      <c r="P67" s="218"/>
      <c r="Q67" s="218"/>
      <c r="R67" s="218"/>
    </row>
    <row r="68" spans="1:18" ht="15" customHeight="1" thickBot="1" x14ac:dyDescent="0.3">
      <c r="A68" s="431">
        <v>68</v>
      </c>
      <c r="B68" s="601"/>
      <c r="C68" s="612"/>
      <c r="D68" s="161" t="s">
        <v>3</v>
      </c>
      <c r="E68" s="169">
        <f>E56*D9</f>
        <v>1620</v>
      </c>
      <c r="F68" s="170">
        <f>F56*$D$5</f>
        <v>4464.2857142857147</v>
      </c>
      <c r="G68" s="263">
        <f t="shared" si="10"/>
        <v>6084.2857142857147</v>
      </c>
      <c r="H68" s="617"/>
      <c r="I68" s="543"/>
      <c r="J68" s="543"/>
      <c r="K68" s="543"/>
      <c r="L68" s="543"/>
      <c r="M68" s="543"/>
      <c r="N68" s="543"/>
      <c r="O68" s="543"/>
      <c r="P68" s="218"/>
      <c r="Q68" s="218"/>
      <c r="R68" s="218"/>
    </row>
    <row r="69" spans="1:18" ht="14.25" customHeight="1" x14ac:dyDescent="0.25">
      <c r="A69" s="431">
        <v>69</v>
      </c>
      <c r="B69" s="601"/>
      <c r="C69" s="613" t="s">
        <v>9</v>
      </c>
      <c r="D69" s="140" t="s">
        <v>2</v>
      </c>
      <c r="E69" s="143">
        <f>E57*D10</f>
        <v>103.4</v>
      </c>
      <c r="F69" s="144">
        <f>F57*$D$5</f>
        <v>1785.7142857142858</v>
      </c>
      <c r="G69" s="262">
        <f t="shared" si="10"/>
        <v>1889.1142857142859</v>
      </c>
      <c r="H69" s="617" t="str">
        <f>_xlfn.CONCAT("Total costs of ",C69," application with a conventional and optical sprayer during the entire season")</f>
        <v>Total costs of Ultra blazer application with a conventional and optical sprayer during the entire season</v>
      </c>
      <c r="I69" s="543"/>
      <c r="J69" s="543"/>
      <c r="K69" s="543"/>
      <c r="L69" s="543"/>
      <c r="M69" s="543"/>
      <c r="N69" s="543"/>
      <c r="O69" s="543"/>
    </row>
    <row r="70" spans="1:18" ht="15" customHeight="1" thickBot="1" x14ac:dyDescent="0.3">
      <c r="A70" s="431">
        <v>70</v>
      </c>
      <c r="B70" s="601"/>
      <c r="C70" s="614"/>
      <c r="D70" s="139" t="s">
        <v>3</v>
      </c>
      <c r="E70" s="141">
        <f>E58*D10</f>
        <v>41.36</v>
      </c>
      <c r="F70" s="142">
        <f>F58*$D$5</f>
        <v>4464.2857142857147</v>
      </c>
      <c r="G70" s="263">
        <f t="shared" si="10"/>
        <v>4505.6457142857143</v>
      </c>
      <c r="H70" s="617"/>
      <c r="I70" s="543"/>
      <c r="J70" s="543"/>
      <c r="K70" s="543"/>
      <c r="L70" s="543"/>
      <c r="M70" s="543"/>
      <c r="N70" s="543"/>
      <c r="O70" s="543"/>
    </row>
    <row r="71" spans="1:18" ht="14.25" customHeight="1" x14ac:dyDescent="0.25">
      <c r="A71" s="431">
        <v>71</v>
      </c>
      <c r="B71" s="601"/>
      <c r="C71" s="611" t="s">
        <v>125</v>
      </c>
      <c r="D71" s="158" t="s">
        <v>2</v>
      </c>
      <c r="E71" s="167">
        <f>E59*D11</f>
        <v>1100</v>
      </c>
      <c r="F71" s="168">
        <f>F59*$D$5</f>
        <v>0</v>
      </c>
      <c r="G71" s="262">
        <f t="shared" si="10"/>
        <v>1100</v>
      </c>
      <c r="H71" s="617" t="str">
        <f>_xlfn.CONCAT("Total costs of ",C71," application with a conventional and optical sprayer during the entire season")</f>
        <v>Total costs of Assist adjuvant application with a conventional and optical sprayer during the entire season</v>
      </c>
      <c r="I71" s="543"/>
      <c r="J71" s="543"/>
      <c r="K71" s="543"/>
      <c r="L71" s="543"/>
      <c r="M71" s="543"/>
      <c r="N71" s="543"/>
      <c r="O71" s="543"/>
    </row>
    <row r="72" spans="1:18" ht="15" customHeight="1" thickBot="1" x14ac:dyDescent="0.3">
      <c r="A72" s="431">
        <v>72</v>
      </c>
      <c r="B72" s="601"/>
      <c r="C72" s="612"/>
      <c r="D72" s="161" t="s">
        <v>3</v>
      </c>
      <c r="E72" s="169">
        <f>E60*D11</f>
        <v>440</v>
      </c>
      <c r="F72" s="170">
        <f>F60*$D$5</f>
        <v>0</v>
      </c>
      <c r="G72" s="263">
        <f t="shared" si="10"/>
        <v>440</v>
      </c>
      <c r="H72" s="617"/>
      <c r="I72" s="543"/>
      <c r="J72" s="543"/>
      <c r="K72" s="543"/>
      <c r="L72" s="543"/>
      <c r="M72" s="543"/>
      <c r="N72" s="543"/>
      <c r="O72" s="543"/>
    </row>
    <row r="73" spans="1:18" ht="14.25" customHeight="1" x14ac:dyDescent="0.25">
      <c r="A73" s="431">
        <v>73</v>
      </c>
      <c r="B73" s="601"/>
      <c r="C73" s="613" t="s">
        <v>15</v>
      </c>
      <c r="D73" s="140" t="s">
        <v>2</v>
      </c>
      <c r="E73" s="143">
        <f>E61*D12</f>
        <v>5120</v>
      </c>
      <c r="F73" s="144">
        <f>F61*$D$5</f>
        <v>7142.8571428571431</v>
      </c>
      <c r="G73" s="262">
        <f t="shared" si="10"/>
        <v>12262.857142857143</v>
      </c>
      <c r="H73" s="617" t="str">
        <f>_xlfn.CONCAT("Total costs of ",C73," application with a conventional and optical sprayer during the entire season")</f>
        <v>Total costs of Goal application with a conventional and optical sprayer during the entire season</v>
      </c>
      <c r="I73" s="543"/>
      <c r="J73" s="543"/>
      <c r="K73" s="543"/>
      <c r="L73" s="543"/>
      <c r="M73" s="543"/>
      <c r="N73" s="543"/>
      <c r="O73" s="543"/>
    </row>
    <row r="74" spans="1:18" ht="15" customHeight="1" thickBot="1" x14ac:dyDescent="0.3">
      <c r="A74" s="431">
        <v>74</v>
      </c>
      <c r="B74" s="601"/>
      <c r="C74" s="614"/>
      <c r="D74" s="139" t="s">
        <v>3</v>
      </c>
      <c r="E74" s="141">
        <f>E62*D12</f>
        <v>2048</v>
      </c>
      <c r="F74" s="142">
        <f>F62*$D$5</f>
        <v>17857.142857142859</v>
      </c>
      <c r="G74" s="263">
        <f t="shared" si="10"/>
        <v>19905.142857142859</v>
      </c>
      <c r="H74" s="617"/>
      <c r="I74" s="543"/>
      <c r="J74" s="543"/>
      <c r="K74" s="543"/>
      <c r="L74" s="543"/>
      <c r="M74" s="543"/>
      <c r="N74" s="543"/>
      <c r="O74" s="543"/>
    </row>
    <row r="75" spans="1:18" ht="14.25" customHeight="1" x14ac:dyDescent="0.25">
      <c r="A75" s="431">
        <v>75</v>
      </c>
      <c r="B75" s="601"/>
      <c r="C75" s="611" t="s">
        <v>11</v>
      </c>
      <c r="D75" s="158" t="s">
        <v>2</v>
      </c>
      <c r="E75" s="167">
        <f>E63*D13</f>
        <v>1000</v>
      </c>
      <c r="F75" s="168">
        <f>F63*$D$5</f>
        <v>3571.4285714285716</v>
      </c>
      <c r="G75" s="262">
        <f t="shared" si="10"/>
        <v>4571.4285714285716</v>
      </c>
      <c r="H75" s="617" t="str">
        <f>_xlfn.CONCAT("Total costs of ",C75," application with a conventional and optical sprayer during the entire season")</f>
        <v>Total costs of Pardner application with a conventional and optical sprayer during the entire season</v>
      </c>
      <c r="I75" s="543"/>
      <c r="J75" s="543"/>
      <c r="K75" s="543"/>
      <c r="L75" s="543"/>
      <c r="M75" s="543"/>
      <c r="N75" s="543"/>
      <c r="O75" s="543"/>
    </row>
    <row r="76" spans="1:18" ht="15" customHeight="1" thickBot="1" x14ac:dyDescent="0.3">
      <c r="A76" s="431">
        <v>76</v>
      </c>
      <c r="B76" s="602"/>
      <c r="C76" s="615"/>
      <c r="D76" s="264" t="s">
        <v>3</v>
      </c>
      <c r="E76" s="265">
        <f>E64*D13</f>
        <v>400</v>
      </c>
      <c r="F76" s="266">
        <f>F64*$D$5</f>
        <v>8928.5714285714294</v>
      </c>
      <c r="G76" s="267">
        <f t="shared" si="10"/>
        <v>9328.5714285714294</v>
      </c>
      <c r="H76" s="617"/>
      <c r="I76" s="543"/>
      <c r="J76" s="543"/>
      <c r="K76" s="543"/>
      <c r="L76" s="543"/>
      <c r="M76" s="543"/>
      <c r="N76" s="543"/>
      <c r="O76" s="543"/>
    </row>
    <row r="77" spans="1:18" ht="17.25" thickBot="1" x14ac:dyDescent="0.3">
      <c r="A77" s="430">
        <v>77</v>
      </c>
      <c r="D77" s="417"/>
      <c r="E77" s="417"/>
      <c r="F77" s="417"/>
      <c r="G77" s="417"/>
      <c r="H77" s="417"/>
    </row>
    <row r="78" spans="1:18" ht="19.5" customHeight="1" thickBot="1" x14ac:dyDescent="0.3">
      <c r="A78" s="430">
        <v>78</v>
      </c>
      <c r="C78" s="268"/>
      <c r="D78" s="414" t="s">
        <v>2</v>
      </c>
      <c r="E78" s="297" t="s">
        <v>3</v>
      </c>
      <c r="F78" s="589" t="s">
        <v>99</v>
      </c>
      <c r="G78" s="590"/>
      <c r="H78" s="591"/>
    </row>
    <row r="79" spans="1:18" ht="28.5" customHeight="1" x14ac:dyDescent="0.25">
      <c r="A79" s="431">
        <v>79</v>
      </c>
      <c r="B79" s="633" t="s">
        <v>94</v>
      </c>
      <c r="C79" s="247" t="s">
        <v>97</v>
      </c>
      <c r="D79" s="269">
        <f>E67+E69+E71+E73+E75</f>
        <v>11373.4</v>
      </c>
      <c r="E79" s="277">
        <f>E68+E70+E72+E74+E76</f>
        <v>4549.3599999999997</v>
      </c>
      <c r="F79" s="592" t="str">
        <f>IF(E79&gt;D79,_xlfn.CONCAT("Increase of ",ABS(ROUND((E79-D79)/D79*100,0)),"% in herbicide costs with optical sprayer", "($",TEXT(ROUND(ABS(E79-D79),0),"#,##0"),"/year)"),_xlfn.CONCAT("Decrease of ",ABS(ROUND((E79-D79)/D79*100,0)),"%",  "($",TEXT(ROUND(ABS(E79-D79),0),"#,##0"),"/year)"," in herbicide costs with optical sprayer"))</f>
        <v>Decrease of 60%($6,824/year) in herbicide costs with optical sprayer</v>
      </c>
      <c r="G79" s="593"/>
      <c r="H79" s="582"/>
      <c r="I79" s="617" t="s">
        <v>126</v>
      </c>
      <c r="J79" s="543"/>
      <c r="K79" s="543"/>
      <c r="L79" s="543"/>
      <c r="M79" s="543"/>
      <c r="N79" s="543"/>
      <c r="O79" s="543"/>
      <c r="P79" s="543"/>
      <c r="Q79" s="409"/>
    </row>
    <row r="80" spans="1:18" ht="28.5" customHeight="1" thickBot="1" x14ac:dyDescent="0.3">
      <c r="A80" s="431">
        <v>80</v>
      </c>
      <c r="B80" s="634"/>
      <c r="C80" s="433" t="s">
        <v>98</v>
      </c>
      <c r="D80" s="275">
        <f>F67+F69+F71+F73+F75</f>
        <v>14285.714285714286</v>
      </c>
      <c r="E80" s="298">
        <f>F68+F70+F72+F74+F76</f>
        <v>35714.285714285717</v>
      </c>
      <c r="F80" s="594" t="str">
        <f>IF(E80&gt;D80,_xlfn.CONCAT("Increase of ",ABS(ROUND((E80-D80)/D80*100,0)),"%","($",TEXT(ROUND(ABS(E85-D85),0),"#,##0"),"/year)","in tractor cost for herbicide applications with optical sprayer"),_xlfn.CONCAT("Decrease of ",ABS(ROUND((E80-D80)/D80*100,0)),"% ","($",TEXT(ROUND(ABS(E85-D85),0),"#,##0"),"/year)","intractorcostforherbicideapplicationswithopticalsprayer"))</f>
        <v>Increase of 150%($101,250/year)in tractor cost for herbicide applications with optical sprayer</v>
      </c>
      <c r="G80" s="595"/>
      <c r="H80" s="596"/>
      <c r="I80" s="617" t="s">
        <v>127</v>
      </c>
      <c r="J80" s="543"/>
      <c r="K80" s="543"/>
      <c r="L80" s="543"/>
      <c r="M80" s="543"/>
      <c r="N80" s="543"/>
      <c r="O80" s="543"/>
      <c r="P80" s="543"/>
      <c r="Q80" s="409"/>
    </row>
    <row r="81" spans="1:32" ht="28.5" customHeight="1" thickTop="1" thickBot="1" x14ac:dyDescent="0.3">
      <c r="A81" s="431">
        <v>81</v>
      </c>
      <c r="B81" s="635"/>
      <c r="C81" s="292" t="s">
        <v>19</v>
      </c>
      <c r="D81" s="293">
        <f>SUM(D79:D80)</f>
        <v>25659.114285714284</v>
      </c>
      <c r="E81" s="299">
        <f>SUM(E79:E80)</f>
        <v>40263.645714285718</v>
      </c>
      <c r="F81" s="597" t="str">
        <f>IF(E81&gt;D81,_xlfn.CONCAT("Increase of ", ABS(ROUND((E81-D81)/D81*100,0)),"% ($", TEXT(ROUND(E81-D81,0),"#,##0"),"/year)"," in herbicide applications cost with optical sprayer"),_xlfn.CONCAT("Decrease of ",ABS(ROUND((E81-D81)/D81*100,0)),"% ($", TEXT(ROUND(E81-D81,0),"#,##0"),"/year)","in herbicide applications cost with optical sprayer"))</f>
        <v>Increase of 57% ($14,605/year) in herbicide applications cost with optical sprayer</v>
      </c>
      <c r="G81" s="598"/>
      <c r="H81" s="599"/>
      <c r="I81" s="617" t="s">
        <v>128</v>
      </c>
      <c r="J81" s="543"/>
      <c r="K81" s="543"/>
      <c r="L81" s="543"/>
      <c r="M81" s="543"/>
      <c r="N81" s="543"/>
      <c r="O81" s="543"/>
      <c r="P81" s="543"/>
      <c r="Q81" s="409"/>
    </row>
    <row r="82" spans="1:32" ht="28.5" customHeight="1" thickBot="1" x14ac:dyDescent="0.3">
      <c r="A82" s="430">
        <v>82</v>
      </c>
      <c r="B82" s="98"/>
      <c r="C82" s="98"/>
      <c r="D82" s="129"/>
      <c r="E82" s="129"/>
      <c r="F82" s="129"/>
      <c r="G82" s="128"/>
      <c r="H82" s="128"/>
      <c r="I82" s="543"/>
      <c r="J82" s="543"/>
      <c r="K82" s="543"/>
      <c r="L82" s="543"/>
      <c r="M82" s="543"/>
      <c r="N82" s="543"/>
      <c r="O82" s="543"/>
      <c r="P82" s="543"/>
      <c r="Q82" s="409"/>
    </row>
    <row r="83" spans="1:32" ht="18.75" customHeight="1" thickBot="1" x14ac:dyDescent="0.3">
      <c r="A83" s="430">
        <v>83</v>
      </c>
      <c r="D83" s="414" t="s">
        <v>2</v>
      </c>
      <c r="E83" s="415" t="s">
        <v>3</v>
      </c>
      <c r="F83" s="590" t="s">
        <v>99</v>
      </c>
      <c r="G83" s="590"/>
      <c r="H83" s="591"/>
      <c r="I83" s="617"/>
      <c r="J83" s="543"/>
      <c r="K83" s="543"/>
      <c r="L83" s="543"/>
      <c r="M83" s="543"/>
      <c r="N83" s="543"/>
      <c r="O83" s="543"/>
      <c r="P83" s="543"/>
      <c r="Q83" s="409"/>
    </row>
    <row r="84" spans="1:32" ht="31.5" customHeight="1" thickBot="1" x14ac:dyDescent="0.3">
      <c r="A84" s="431">
        <v>84</v>
      </c>
      <c r="B84" s="603" t="s">
        <v>108</v>
      </c>
      <c r="C84" s="434" t="s">
        <v>13</v>
      </c>
      <c r="D84" s="295">
        <f>D38*D28+D46*D30</f>
        <v>12600</v>
      </c>
      <c r="E84" s="296">
        <f>D38*D29+D46*D31</f>
        <v>8100</v>
      </c>
      <c r="F84" s="605" t="str">
        <f>IF(E85&gt;D85,_xlfn.CONCAT("Increase of ",ABS(ROUND((E85-D85)/D85*100,0)),,"% ($", TEXT(ROUND(ABS(E85-D85),0),"#,##0"),"/year)", "in hand weeding cost with optical sprayer"),_xlfn.CONCAT("Decrease of ",ABS(ROUND((E85-D85)/D85*100,0)), ,"% ($", TEXT(ABS(ROUND(E85-D85,0)),"#,##0"),"/year)", "in hand weeding cost with optical sprayer"))</f>
        <v>Decrease of 36% ($101,250/year)in hand weeding cost with optical sprayer</v>
      </c>
      <c r="G84" s="606"/>
      <c r="H84" s="607"/>
      <c r="I84" s="617" t="s">
        <v>129</v>
      </c>
      <c r="J84" s="543"/>
      <c r="K84" s="543"/>
      <c r="L84" s="543"/>
      <c r="M84" s="543"/>
      <c r="N84" s="543"/>
      <c r="O84" s="543"/>
      <c r="P84" s="543"/>
      <c r="Q84" s="409"/>
    </row>
    <row r="85" spans="1:32" ht="33" customHeight="1" thickTop="1" thickBot="1" x14ac:dyDescent="0.3">
      <c r="A85" s="431">
        <v>85</v>
      </c>
      <c r="B85" s="604"/>
      <c r="C85" s="292" t="s">
        <v>20</v>
      </c>
      <c r="D85" s="293">
        <f>D84*D8</f>
        <v>283500</v>
      </c>
      <c r="E85" s="294">
        <f>E84*D8</f>
        <v>182250</v>
      </c>
      <c r="F85" s="608"/>
      <c r="G85" s="609"/>
      <c r="H85" s="610"/>
      <c r="I85" s="617"/>
      <c r="J85" s="543"/>
      <c r="K85" s="543"/>
      <c r="L85" s="543"/>
      <c r="M85" s="543"/>
      <c r="N85" s="543"/>
      <c r="O85" s="543"/>
      <c r="P85" s="543"/>
      <c r="Q85" s="409"/>
    </row>
    <row r="86" spans="1:32" ht="33" customHeight="1" thickBot="1" x14ac:dyDescent="0.3">
      <c r="A86" s="430">
        <v>86</v>
      </c>
      <c r="B86" s="98"/>
      <c r="C86" s="98"/>
      <c r="D86" s="88"/>
      <c r="E86" s="88"/>
      <c r="F86" s="88"/>
      <c r="G86" s="128"/>
      <c r="H86" s="128"/>
      <c r="I86" s="543"/>
      <c r="J86" s="543"/>
      <c r="K86" s="543"/>
      <c r="L86" s="543"/>
      <c r="M86" s="543"/>
      <c r="N86" s="543"/>
      <c r="O86" s="543"/>
      <c r="P86" s="543"/>
      <c r="Q86" s="409"/>
    </row>
    <row r="87" spans="1:32" s="404" customFormat="1" ht="17.25" thickBot="1" x14ac:dyDescent="0.3">
      <c r="A87" s="430">
        <v>87</v>
      </c>
      <c r="B87" s="236"/>
      <c r="C87" s="98"/>
      <c r="D87" s="414" t="s">
        <v>2</v>
      </c>
      <c r="E87" s="415" t="s">
        <v>3</v>
      </c>
      <c r="F87" s="590" t="s">
        <v>99</v>
      </c>
      <c r="G87" s="590"/>
      <c r="H87" s="591"/>
      <c r="I87" s="617"/>
      <c r="J87" s="543"/>
      <c r="K87" s="543"/>
      <c r="L87" s="543"/>
      <c r="M87" s="543"/>
      <c r="N87" s="543"/>
      <c r="O87" s="543"/>
      <c r="P87" s="543"/>
      <c r="Q87" s="409"/>
      <c r="U87" s="86"/>
      <c r="V87" s="86"/>
      <c r="W87" s="86"/>
      <c r="X87" s="86"/>
      <c r="Y87" s="86"/>
      <c r="Z87" s="86"/>
      <c r="AA87" s="86"/>
      <c r="AB87" s="86"/>
      <c r="AC87" s="86"/>
      <c r="AD87" s="86"/>
      <c r="AE87" s="86"/>
      <c r="AF87" s="86"/>
    </row>
    <row r="88" spans="1:32" ht="16.5" customHeight="1" x14ac:dyDescent="0.25">
      <c r="A88" s="431">
        <v>88</v>
      </c>
      <c r="B88" s="586" t="s">
        <v>6</v>
      </c>
      <c r="C88" s="270" t="s">
        <v>146</v>
      </c>
      <c r="D88" s="274">
        <f>$D$38*$D$17*$D$25/1000+$D$46*$D$18*$D$26/1000</f>
        <v>2707500</v>
      </c>
      <c r="E88" s="271">
        <f>$D$38*$D$17*$D$25/1000*(1+D19)+$D$46*$D$18*$D$26/1000*(1+D20)</f>
        <v>2842875</v>
      </c>
      <c r="F88" s="605" t="str">
        <f>IF(E90&gt;D90,_xlfn.CONCAT("Increase of ","$", TEXT(ROUND(E90-D90,0),"#,##0"),"/year", " in net sales (after harvest, processing and packaging costs)"),_xlfn.CONCAT("Decrease of ","$", TEXT(ROUND(ABS(E90-D90),0),"#,##0"),"/year", " in net sales (after harvest, processing and packaging costs)"))</f>
        <v>Increase of $127,063/year in net sales (after harvest, processing and packaging costs)</v>
      </c>
      <c r="G88" s="606"/>
      <c r="H88" s="607"/>
      <c r="I88" s="617" t="s">
        <v>173</v>
      </c>
      <c r="J88" s="543"/>
      <c r="K88" s="543"/>
      <c r="L88" s="543"/>
      <c r="M88" s="543"/>
      <c r="N88" s="543"/>
      <c r="O88" s="543"/>
      <c r="P88" s="543"/>
      <c r="Q88" s="409"/>
    </row>
    <row r="89" spans="1:32" ht="17.25" customHeight="1" thickBot="1" x14ac:dyDescent="0.3">
      <c r="A89" s="431">
        <v>89</v>
      </c>
      <c r="B89" s="587"/>
      <c r="C89" s="435" t="s">
        <v>130</v>
      </c>
      <c r="D89" s="275">
        <f>($D$38*$D$17*$D$14/1000+$D$15*$D$46*$D$18/1000)*-1</f>
        <v>-166250</v>
      </c>
      <c r="E89" s="229">
        <f>($D$38*$D$17*$D$14/1000*(1+D19)+$D$15*$D$46*$D$18/1000*(1+D20))*-1</f>
        <v>-174562.5</v>
      </c>
      <c r="F89" s="491"/>
      <c r="G89" s="492"/>
      <c r="H89" s="644"/>
      <c r="I89" s="617" t="s">
        <v>174</v>
      </c>
      <c r="J89" s="543"/>
      <c r="K89" s="543"/>
      <c r="L89" s="543"/>
      <c r="M89" s="543"/>
      <c r="N89" s="543"/>
      <c r="O89" s="543"/>
      <c r="P89" s="543"/>
      <c r="Q89" s="543"/>
      <c r="R89" s="543"/>
      <c r="S89" s="543"/>
    </row>
    <row r="90" spans="1:32" ht="34.5" customHeight="1" thickTop="1" thickBot="1" x14ac:dyDescent="0.3">
      <c r="A90" s="431">
        <v>90</v>
      </c>
      <c r="B90" s="588"/>
      <c r="C90" s="272" t="s">
        <v>159</v>
      </c>
      <c r="D90" s="276">
        <f>D88+D89</f>
        <v>2541250</v>
      </c>
      <c r="E90" s="273">
        <f>E88+E89</f>
        <v>2668312.5</v>
      </c>
      <c r="F90" s="608"/>
      <c r="G90" s="609"/>
      <c r="H90" s="610"/>
      <c r="I90" s="401" t="s">
        <v>175</v>
      </c>
      <c r="J90" s="401"/>
      <c r="K90" s="401"/>
      <c r="L90" s="401"/>
      <c r="M90" s="401"/>
      <c r="N90" s="401"/>
      <c r="O90" s="401"/>
      <c r="P90" s="401"/>
      <c r="Q90" s="401"/>
    </row>
    <row r="91" spans="1:32" ht="17.25" thickBot="1" x14ac:dyDescent="0.3">
      <c r="A91" s="430">
        <v>91</v>
      </c>
      <c r="C91" s="117"/>
    </row>
    <row r="92" spans="1:32" ht="15" customHeight="1" x14ac:dyDescent="0.25">
      <c r="A92" s="431">
        <v>92</v>
      </c>
      <c r="B92" s="628" t="s">
        <v>21</v>
      </c>
      <c r="C92" s="449" t="s">
        <v>157</v>
      </c>
      <c r="D92" s="454">
        <f>D81-E81</f>
        <v>-14604.531428571434</v>
      </c>
      <c r="E92" s="581" t="str">
        <f>IF(D97&gt;0,_xlfn.CONCAT("The project has a net positive benefit of ",TEXT(D97,"#,##0")," $/year after the initial investment of ", TEXT(D2,"$#,##0")), _xlfn.CONCAT("The project will cause losess of ",TEXT(D97,"#,##0")," $/year after the initial  investment of", TEXT(D2,"$#,##0")))</f>
        <v>The project has a net positive benefit of 183,583 $/year after the initial investment of $400,000</v>
      </c>
      <c r="F92" s="582"/>
      <c r="G92" s="401" t="s">
        <v>132</v>
      </c>
      <c r="H92" s="401"/>
      <c r="I92" s="401"/>
      <c r="J92" s="401"/>
      <c r="K92" s="401"/>
      <c r="L92" s="401"/>
      <c r="M92" s="401"/>
      <c r="N92" s="401"/>
      <c r="O92" s="409"/>
      <c r="P92" s="401"/>
      <c r="Q92" s="401"/>
      <c r="R92" s="401"/>
      <c r="S92" s="401"/>
    </row>
    <row r="93" spans="1:32" ht="15.75" customHeight="1" x14ac:dyDescent="0.25">
      <c r="A93" s="431">
        <v>93</v>
      </c>
      <c r="B93" s="629"/>
      <c r="C93" s="450" t="s">
        <v>155</v>
      </c>
      <c r="D93" s="455">
        <f>D85-E85</f>
        <v>101250</v>
      </c>
      <c r="E93" s="475"/>
      <c r="F93" s="583"/>
      <c r="G93" s="401" t="s">
        <v>133</v>
      </c>
      <c r="H93" s="401"/>
      <c r="I93" s="401"/>
      <c r="J93" s="401"/>
      <c r="K93" s="401"/>
      <c r="L93" s="401"/>
      <c r="M93" s="401"/>
      <c r="N93" s="401"/>
      <c r="O93" s="409"/>
      <c r="P93" s="401"/>
      <c r="Q93" s="401"/>
      <c r="R93" s="401"/>
      <c r="S93" s="401"/>
    </row>
    <row r="94" spans="1:32" ht="15" customHeight="1" x14ac:dyDescent="0.25">
      <c r="A94" s="431">
        <v>94</v>
      </c>
      <c r="B94" s="629"/>
      <c r="C94" s="451" t="s">
        <v>158</v>
      </c>
      <c r="D94" s="456">
        <f>-D4</f>
        <v>-25000</v>
      </c>
      <c r="E94" s="475"/>
      <c r="F94" s="583"/>
      <c r="G94" s="617" t="s">
        <v>134</v>
      </c>
      <c r="H94" s="543"/>
      <c r="I94" s="543"/>
      <c r="J94" s="543"/>
      <c r="K94" s="543"/>
      <c r="L94" s="543"/>
      <c r="M94" s="543"/>
      <c r="N94" s="543"/>
      <c r="O94" s="409"/>
      <c r="P94" s="543"/>
      <c r="Q94" s="543"/>
      <c r="R94" s="543"/>
      <c r="S94" s="543"/>
    </row>
    <row r="95" spans="1:32" ht="15" customHeight="1" x14ac:dyDescent="0.25">
      <c r="A95" s="431"/>
      <c r="B95" s="629"/>
      <c r="C95" s="451" t="s">
        <v>206</v>
      </c>
      <c r="D95" s="456">
        <f>D7-D6</f>
        <v>-5125</v>
      </c>
      <c r="E95" s="475"/>
      <c r="F95" s="583"/>
      <c r="G95" s="409"/>
      <c r="H95" s="409"/>
      <c r="I95" s="409"/>
      <c r="J95" s="409"/>
      <c r="K95" s="409"/>
      <c r="L95" s="409"/>
      <c r="M95" s="409"/>
      <c r="N95" s="409"/>
      <c r="O95" s="409"/>
      <c r="P95" s="409"/>
      <c r="Q95" s="409"/>
      <c r="R95" s="409"/>
      <c r="S95" s="409"/>
    </row>
    <row r="96" spans="1:32" ht="15.75" customHeight="1" thickBot="1" x14ac:dyDescent="0.3">
      <c r="A96" s="431">
        <v>95</v>
      </c>
      <c r="B96" s="629"/>
      <c r="C96" s="452" t="s">
        <v>156</v>
      </c>
      <c r="D96" s="455">
        <f>E90-D90</f>
        <v>127062.5</v>
      </c>
      <c r="E96" s="475"/>
      <c r="F96" s="583"/>
      <c r="G96" s="401" t="s">
        <v>160</v>
      </c>
      <c r="H96" s="401"/>
      <c r="I96" s="401"/>
      <c r="J96" s="401"/>
      <c r="K96" s="401"/>
      <c r="L96" s="401"/>
      <c r="M96" s="401"/>
      <c r="N96" s="401"/>
    </row>
    <row r="97" spans="1:19" ht="16.5" customHeight="1" thickBot="1" x14ac:dyDescent="0.3">
      <c r="A97" s="431">
        <v>96</v>
      </c>
      <c r="B97" s="630"/>
      <c r="C97" s="453" t="s">
        <v>79</v>
      </c>
      <c r="D97" s="457">
        <f>ROUND(SUM(D92:D96),0)</f>
        <v>183583</v>
      </c>
      <c r="E97" s="584"/>
      <c r="F97" s="585"/>
      <c r="G97" s="401" t="s">
        <v>135</v>
      </c>
      <c r="H97" s="401"/>
      <c r="I97" s="401"/>
      <c r="J97" s="401"/>
      <c r="K97" s="401"/>
      <c r="L97" s="401"/>
      <c r="M97" s="401"/>
      <c r="N97" s="401"/>
      <c r="O97" s="401"/>
      <c r="P97" s="401"/>
      <c r="Q97" s="401"/>
      <c r="R97" s="401"/>
      <c r="S97" s="401"/>
    </row>
    <row r="98" spans="1:19" ht="17.25" thickBot="1" x14ac:dyDescent="0.3">
      <c r="A98" s="430">
        <v>97</v>
      </c>
      <c r="C98" s="98"/>
      <c r="D98" s="417"/>
      <c r="G98" s="401"/>
      <c r="H98" s="401"/>
      <c r="I98" s="401"/>
      <c r="J98" s="401"/>
      <c r="K98" s="401"/>
      <c r="L98" s="401"/>
      <c r="M98" s="401"/>
      <c r="N98" s="401"/>
      <c r="O98" s="409"/>
      <c r="P98" s="401"/>
      <c r="Q98" s="401"/>
      <c r="R98" s="401"/>
      <c r="S98" s="401"/>
    </row>
    <row r="99" spans="1:19" ht="27.75" customHeight="1" x14ac:dyDescent="0.25">
      <c r="A99" s="431">
        <v>98</v>
      </c>
      <c r="B99" s="576" t="s">
        <v>107</v>
      </c>
      <c r="C99" s="278" t="s">
        <v>7</v>
      </c>
      <c r="D99" s="279">
        <f>-PMT(POWER(1+D34,1/12)-1,D35*12,D2-D36,,1)</f>
        <v>7825.9379591570632</v>
      </c>
      <c r="E99" s="543" t="s">
        <v>136</v>
      </c>
      <c r="F99" s="543"/>
      <c r="G99" s="543"/>
      <c r="H99" s="543"/>
      <c r="I99" s="543"/>
      <c r="J99" s="543"/>
      <c r="K99" s="543"/>
      <c r="L99" s="543"/>
    </row>
    <row r="100" spans="1:19" ht="27.75" customHeight="1" thickBot="1" x14ac:dyDescent="0.3">
      <c r="A100" s="431">
        <v>99</v>
      </c>
      <c r="B100" s="577"/>
      <c r="C100" s="280" t="s">
        <v>106</v>
      </c>
      <c r="D100" s="281">
        <f>D99*12</f>
        <v>93911.255509884766</v>
      </c>
      <c r="E100" s="543" t="s">
        <v>137</v>
      </c>
      <c r="F100" s="543"/>
      <c r="G100" s="543"/>
      <c r="H100" s="543"/>
      <c r="I100" s="543"/>
      <c r="J100" s="543"/>
      <c r="K100" s="543"/>
      <c r="L100" s="543"/>
    </row>
    <row r="101" spans="1:19" ht="17.25" thickBot="1" x14ac:dyDescent="0.3">
      <c r="A101" s="430">
        <v>100</v>
      </c>
    </row>
    <row r="102" spans="1:19" ht="17.25" x14ac:dyDescent="0.25">
      <c r="A102" s="431">
        <v>101</v>
      </c>
      <c r="B102" s="573" t="s">
        <v>101</v>
      </c>
      <c r="C102" s="282" t="s">
        <v>28</v>
      </c>
      <c r="D102" s="308">
        <f>D2/D97</f>
        <v>2.1788509829341498</v>
      </c>
      <c r="E102" s="309"/>
      <c r="F102" s="669"/>
      <c r="G102" s="670"/>
      <c r="H102" s="670"/>
      <c r="I102" s="670"/>
      <c r="J102" s="670"/>
      <c r="K102" s="670"/>
      <c r="L102" s="670"/>
      <c r="M102" s="670"/>
    </row>
    <row r="103" spans="1:19" ht="17.25" x14ac:dyDescent="0.25">
      <c r="A103" s="431">
        <v>102</v>
      </c>
      <c r="B103" s="574"/>
      <c r="C103" s="283" t="s">
        <v>25</v>
      </c>
      <c r="D103" s="304">
        <f>D97/D2</f>
        <v>0.45895750000000002</v>
      </c>
      <c r="E103" s="310"/>
      <c r="F103" s="616"/>
      <c r="G103" s="459"/>
      <c r="H103" s="459"/>
      <c r="I103" s="459"/>
      <c r="J103" s="459"/>
      <c r="K103" s="459"/>
      <c r="L103" s="459"/>
      <c r="M103" s="459"/>
    </row>
    <row r="104" spans="1:19" ht="14.25" customHeight="1" x14ac:dyDescent="0.25">
      <c r="A104" s="431">
        <v>103</v>
      </c>
      <c r="B104" s="574"/>
      <c r="C104" s="284" t="s">
        <v>22</v>
      </c>
      <c r="D104" s="311">
        <f>NPV(D33,NPV!C8:M8)</f>
        <v>613660.25252372597</v>
      </c>
      <c r="E104" s="312"/>
      <c r="F104" s="617" t="s">
        <v>139</v>
      </c>
      <c r="G104" s="543"/>
      <c r="H104" s="543"/>
      <c r="I104" s="543"/>
      <c r="J104" s="543"/>
      <c r="K104" s="543"/>
      <c r="L104" s="543"/>
      <c r="M104" s="543"/>
    </row>
    <row r="105" spans="1:19" ht="15" customHeight="1" thickBot="1" x14ac:dyDescent="0.3">
      <c r="A105" s="431">
        <v>104</v>
      </c>
      <c r="B105" s="575"/>
      <c r="C105" s="285" t="s">
        <v>100</v>
      </c>
      <c r="D105" s="313">
        <f>IRR(NPV!C8:M8)</f>
        <v>0.44759988701559927</v>
      </c>
      <c r="E105" s="314"/>
      <c r="F105" s="617" t="s">
        <v>138</v>
      </c>
      <c r="G105" s="543"/>
      <c r="H105" s="543"/>
      <c r="I105" s="543"/>
      <c r="J105" s="543"/>
      <c r="K105" s="543"/>
      <c r="L105" s="543"/>
      <c r="M105" s="543"/>
    </row>
    <row r="108" spans="1:19" x14ac:dyDescent="0.25">
      <c r="F108" s="417"/>
    </row>
    <row r="109" spans="1:19" x14ac:dyDescent="0.25">
      <c r="F109" s="417"/>
    </row>
  </sheetData>
  <sheetProtection sheet="1" objects="1" scenarios="1"/>
  <mergeCells count="130">
    <mergeCell ref="U1:AF2"/>
    <mergeCell ref="U19:U27"/>
    <mergeCell ref="U29:AF29"/>
    <mergeCell ref="W30:AF30"/>
    <mergeCell ref="U32:U40"/>
    <mergeCell ref="P94:S94"/>
    <mergeCell ref="J43:T43"/>
    <mergeCell ref="J44:T44"/>
    <mergeCell ref="E38:G38"/>
    <mergeCell ref="F40:G40"/>
    <mergeCell ref="H40:I40"/>
    <mergeCell ref="G58:N58"/>
    <mergeCell ref="G60:N60"/>
    <mergeCell ref="G62:N62"/>
    <mergeCell ref="E35:J35"/>
    <mergeCell ref="E36:J36"/>
    <mergeCell ref="I89:S89"/>
    <mergeCell ref="H73:O73"/>
    <mergeCell ref="H72:O72"/>
    <mergeCell ref="H71:O71"/>
    <mergeCell ref="H70:O70"/>
    <mergeCell ref="H69:O69"/>
    <mergeCell ref="H68:O68"/>
    <mergeCell ref="E25:R25"/>
    <mergeCell ref="E2:L2"/>
    <mergeCell ref="E4:L4"/>
    <mergeCell ref="E5:L5"/>
    <mergeCell ref="E8:L8"/>
    <mergeCell ref="E3:L3"/>
    <mergeCell ref="E1:G1"/>
    <mergeCell ref="G63:Q63"/>
    <mergeCell ref="G59:P59"/>
    <mergeCell ref="G57:P57"/>
    <mergeCell ref="E17:J17"/>
    <mergeCell ref="E18:J18"/>
    <mergeCell ref="E19:L19"/>
    <mergeCell ref="E20:L20"/>
    <mergeCell ref="E9:J9"/>
    <mergeCell ref="E10:J10"/>
    <mergeCell ref="E11:J11"/>
    <mergeCell ref="E12:J12"/>
    <mergeCell ref="E13:J13"/>
    <mergeCell ref="H67:O67"/>
    <mergeCell ref="G55:P55"/>
    <mergeCell ref="F102:M102"/>
    <mergeCell ref="H75:O75"/>
    <mergeCell ref="H76:O76"/>
    <mergeCell ref="I79:P79"/>
    <mergeCell ref="I80:P80"/>
    <mergeCell ref="I81:P81"/>
    <mergeCell ref="I82:P82"/>
    <mergeCell ref="I83:P83"/>
    <mergeCell ref="I84:P84"/>
    <mergeCell ref="I85:P85"/>
    <mergeCell ref="I86:P86"/>
    <mergeCell ref="I87:P87"/>
    <mergeCell ref="I88:P88"/>
    <mergeCell ref="G64:N64"/>
    <mergeCell ref="U3:AF3"/>
    <mergeCell ref="W4:AF4"/>
    <mergeCell ref="U6:U14"/>
    <mergeCell ref="D50:E50"/>
    <mergeCell ref="F50:G50"/>
    <mergeCell ref="C55:C56"/>
    <mergeCell ref="H50:S50"/>
    <mergeCell ref="H51:S51"/>
    <mergeCell ref="H52:S52"/>
    <mergeCell ref="G56:N56"/>
    <mergeCell ref="E31:L31"/>
    <mergeCell ref="J42:T42"/>
    <mergeCell ref="E28:L28"/>
    <mergeCell ref="E29:L29"/>
    <mergeCell ref="E30:L30"/>
    <mergeCell ref="U42:AF42"/>
    <mergeCell ref="W43:AF43"/>
    <mergeCell ref="U45:U53"/>
    <mergeCell ref="U16:AF16"/>
    <mergeCell ref="W17:AF17"/>
    <mergeCell ref="E22:L22"/>
    <mergeCell ref="E23:L23"/>
    <mergeCell ref="E34:J34"/>
    <mergeCell ref="E33:J33"/>
    <mergeCell ref="B2:B15"/>
    <mergeCell ref="B17:B20"/>
    <mergeCell ref="B22:B23"/>
    <mergeCell ref="B25:B26"/>
    <mergeCell ref="B28:B31"/>
    <mergeCell ref="B92:B97"/>
    <mergeCell ref="D42:E42"/>
    <mergeCell ref="F42:G42"/>
    <mergeCell ref="H42:I42"/>
    <mergeCell ref="B79:B81"/>
    <mergeCell ref="D48:E48"/>
    <mergeCell ref="F48:G48"/>
    <mergeCell ref="C57:C58"/>
    <mergeCell ref="C59:C60"/>
    <mergeCell ref="C61:C62"/>
    <mergeCell ref="C63:C64"/>
    <mergeCell ref="F83:H83"/>
    <mergeCell ref="F87:H87"/>
    <mergeCell ref="F88:H90"/>
    <mergeCell ref="B38:B44"/>
    <mergeCell ref="B46:B52"/>
    <mergeCell ref="D40:E40"/>
    <mergeCell ref="G94:N94"/>
    <mergeCell ref="H74:O74"/>
    <mergeCell ref="B102:B105"/>
    <mergeCell ref="B99:B100"/>
    <mergeCell ref="B33:B36"/>
    <mergeCell ref="E92:F97"/>
    <mergeCell ref="B54:B64"/>
    <mergeCell ref="F78:H78"/>
    <mergeCell ref="F79:H79"/>
    <mergeCell ref="F80:H80"/>
    <mergeCell ref="F81:H81"/>
    <mergeCell ref="B66:B76"/>
    <mergeCell ref="B84:B85"/>
    <mergeCell ref="B88:B90"/>
    <mergeCell ref="F84:H85"/>
    <mergeCell ref="C67:C68"/>
    <mergeCell ref="C69:C70"/>
    <mergeCell ref="C71:C72"/>
    <mergeCell ref="C73:C74"/>
    <mergeCell ref="C75:C76"/>
    <mergeCell ref="E46:G46"/>
    <mergeCell ref="F103:M103"/>
    <mergeCell ref="F104:M104"/>
    <mergeCell ref="F105:M105"/>
    <mergeCell ref="E99:L99"/>
    <mergeCell ref="E100:L100"/>
  </mergeCells>
  <phoneticPr fontId="40" type="noConversion"/>
  <conditionalFormatting sqref="E92">
    <cfRule type="expression" dxfId="18" priority="17">
      <formula>$D$97&lt;0</formula>
    </cfRule>
    <cfRule type="expression" dxfId="17" priority="18">
      <formula>$D$97&gt;0</formula>
    </cfRule>
  </conditionalFormatting>
  <conditionalFormatting sqref="F79">
    <cfRule type="expression" dxfId="16" priority="15">
      <formula>$E$79&gt;$D$79</formula>
    </cfRule>
    <cfRule type="expression" dxfId="15" priority="16">
      <formula>$E$79&lt;$D$79</formula>
    </cfRule>
  </conditionalFormatting>
  <conditionalFormatting sqref="F80">
    <cfRule type="expression" dxfId="14" priority="10">
      <formula>$D$80&gt;$E$80</formula>
    </cfRule>
    <cfRule type="expression" dxfId="13" priority="12">
      <formula>$E$80&gt;$D$80</formula>
    </cfRule>
  </conditionalFormatting>
  <conditionalFormatting sqref="F81">
    <cfRule type="expression" dxfId="12" priority="8">
      <formula>$E$81&gt;$D$81</formula>
    </cfRule>
    <cfRule type="expression" dxfId="11" priority="11">
      <formula>$D$81&gt;$E$81</formula>
    </cfRule>
  </conditionalFormatting>
  <conditionalFormatting sqref="F84">
    <cfRule type="expression" dxfId="10" priority="6">
      <formula>$E$85&gt;$D$85</formula>
    </cfRule>
    <cfRule type="expression" dxfId="9" priority="7">
      <formula>$D$85&gt;$E$85</formula>
    </cfRule>
  </conditionalFormatting>
  <conditionalFormatting sqref="F88">
    <cfRule type="expression" dxfId="8" priority="4">
      <formula>$D$90&gt;$E$90</formula>
    </cfRule>
    <cfRule type="expression" dxfId="7" priority="5">
      <formula>$E$90&gt;$D$90</formula>
    </cfRule>
  </conditionalFormatting>
  <conditionalFormatting sqref="W19:AF27">
    <cfRule type="cellIs" dxfId="6" priority="1" operator="lessThan">
      <formula>0.3</formula>
    </cfRule>
  </conditionalFormatting>
  <conditionalFormatting sqref="W32:AF40">
    <cfRule type="cellIs" dxfId="5" priority="2" operator="greaterThan">
      <formula>5</formula>
    </cfRule>
  </conditionalFormatting>
  <conditionalFormatting sqref="W45:AF53">
    <cfRule type="cellIs" dxfId="4" priority="3" operator="less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16A4A-65F5-498C-9BCF-EB4B65793E64}">
  <dimension ref="B1:M55"/>
  <sheetViews>
    <sheetView workbookViewId="0">
      <selection activeCell="O14" sqref="O14"/>
    </sheetView>
  </sheetViews>
  <sheetFormatPr defaultRowHeight="15" x14ac:dyDescent="0.25"/>
  <cols>
    <col min="3" max="3" width="11.5703125" bestFit="1" customWidth="1"/>
  </cols>
  <sheetData>
    <row r="1" spans="2:13" ht="15.75" thickBot="1" x14ac:dyDescent="0.3"/>
    <row r="2" spans="2:13" ht="15.75" thickBot="1" x14ac:dyDescent="0.3">
      <c r="B2" s="687" t="s">
        <v>78</v>
      </c>
      <c r="C2" s="688"/>
      <c r="D2" s="688"/>
      <c r="E2" s="688"/>
      <c r="F2" s="688"/>
      <c r="G2" s="688"/>
      <c r="H2" s="688"/>
      <c r="I2" s="688"/>
      <c r="J2" s="688"/>
      <c r="K2" s="688"/>
      <c r="L2" s="688"/>
      <c r="M2" s="689"/>
    </row>
    <row r="3" spans="2:13" x14ac:dyDescent="0.25">
      <c r="B3" s="7"/>
      <c r="C3" s="4"/>
      <c r="D3" s="690" t="s">
        <v>26</v>
      </c>
      <c r="E3" s="690"/>
      <c r="F3" s="690"/>
      <c r="G3" s="690"/>
      <c r="H3" s="690"/>
      <c r="I3" s="690"/>
      <c r="J3" s="690"/>
      <c r="K3" s="690"/>
      <c r="L3" s="690"/>
      <c r="M3" s="691"/>
    </row>
    <row r="4" spans="2:13" ht="15.75" thickBot="1" x14ac:dyDescent="0.3">
      <c r="B4" s="7"/>
      <c r="C4" s="54">
        <f>'3. Calculation sheet'!D97</f>
        <v>183583</v>
      </c>
      <c r="D4" s="48">
        <v>10</v>
      </c>
      <c r="E4" s="49">
        <f t="shared" ref="E4:M4" si="0">D4+10</f>
        <v>20</v>
      </c>
      <c r="F4" s="49">
        <f t="shared" si="0"/>
        <v>30</v>
      </c>
      <c r="G4" s="49">
        <f t="shared" si="0"/>
        <v>40</v>
      </c>
      <c r="H4" s="49">
        <f t="shared" si="0"/>
        <v>50</v>
      </c>
      <c r="I4" s="49">
        <f t="shared" si="0"/>
        <v>60</v>
      </c>
      <c r="J4" s="49">
        <f t="shared" si="0"/>
        <v>70</v>
      </c>
      <c r="K4" s="49">
        <f t="shared" si="0"/>
        <v>80</v>
      </c>
      <c r="L4" s="49">
        <f t="shared" si="0"/>
        <v>90</v>
      </c>
      <c r="M4" s="50">
        <f t="shared" si="0"/>
        <v>100</v>
      </c>
    </row>
    <row r="5" spans="2:13" x14ac:dyDescent="0.25">
      <c r="B5" s="692" t="s">
        <v>27</v>
      </c>
      <c r="C5" s="55">
        <v>10</v>
      </c>
      <c r="D5" s="68">
        <v>38346</v>
      </c>
      <c r="E5" s="56">
        <v>79014</v>
      </c>
      <c r="F5" s="56">
        <v>119682</v>
      </c>
      <c r="G5" s="56">
        <v>160350</v>
      </c>
      <c r="H5" s="56">
        <v>201018</v>
      </c>
      <c r="I5" s="56">
        <v>241686</v>
      </c>
      <c r="J5" s="56">
        <v>282354</v>
      </c>
      <c r="K5" s="56">
        <v>323022</v>
      </c>
      <c r="L5" s="56">
        <v>363690</v>
      </c>
      <c r="M5" s="69">
        <v>404358</v>
      </c>
    </row>
    <row r="6" spans="2:13" x14ac:dyDescent="0.25">
      <c r="B6" s="693"/>
      <c r="C6" s="51">
        <f t="shared" ref="C6:C13" si="1">C5+10</f>
        <v>20</v>
      </c>
      <c r="D6" s="15">
        <v>56023</v>
      </c>
      <c r="E6" s="16">
        <v>96691</v>
      </c>
      <c r="F6" s="16">
        <v>137359</v>
      </c>
      <c r="G6" s="16">
        <v>178027</v>
      </c>
      <c r="H6" s="16">
        <v>218695</v>
      </c>
      <c r="I6" s="16">
        <v>259363</v>
      </c>
      <c r="J6" s="16">
        <v>300031</v>
      </c>
      <c r="K6" s="16">
        <v>340699</v>
      </c>
      <c r="L6" s="16">
        <v>381367</v>
      </c>
      <c r="M6" s="17">
        <v>422035</v>
      </c>
    </row>
    <row r="7" spans="2:13" x14ac:dyDescent="0.25">
      <c r="B7" s="693"/>
      <c r="C7" s="51">
        <f t="shared" si="1"/>
        <v>30</v>
      </c>
      <c r="D7" s="57">
        <v>73701</v>
      </c>
      <c r="E7" s="70">
        <v>114369</v>
      </c>
      <c r="F7" s="70">
        <v>155037</v>
      </c>
      <c r="G7" s="70">
        <v>195705</v>
      </c>
      <c r="H7" s="70">
        <v>236373</v>
      </c>
      <c r="I7" s="70">
        <v>277041</v>
      </c>
      <c r="J7" s="70">
        <v>317709</v>
      </c>
      <c r="K7" s="70">
        <v>358377</v>
      </c>
      <c r="L7" s="70">
        <v>399045</v>
      </c>
      <c r="M7" s="53">
        <v>439713</v>
      </c>
    </row>
    <row r="8" spans="2:13" x14ac:dyDescent="0.25">
      <c r="B8" s="693"/>
      <c r="C8" s="51">
        <f t="shared" si="1"/>
        <v>40</v>
      </c>
      <c r="D8" s="15">
        <v>91378</v>
      </c>
      <c r="E8" s="16">
        <v>132046</v>
      </c>
      <c r="F8" s="16">
        <v>172714</v>
      </c>
      <c r="G8" s="16">
        <v>213382</v>
      </c>
      <c r="H8" s="16">
        <v>254050</v>
      </c>
      <c r="I8" s="16">
        <v>294718</v>
      </c>
      <c r="J8" s="16">
        <v>335386</v>
      </c>
      <c r="K8" s="16">
        <v>376054</v>
      </c>
      <c r="L8" s="16">
        <v>416722</v>
      </c>
      <c r="M8" s="17">
        <v>457390</v>
      </c>
    </row>
    <row r="9" spans="2:13" x14ac:dyDescent="0.25">
      <c r="B9" s="693"/>
      <c r="C9" s="51">
        <f t="shared" si="1"/>
        <v>50</v>
      </c>
      <c r="D9" s="15">
        <v>109056</v>
      </c>
      <c r="E9" s="16">
        <v>149724</v>
      </c>
      <c r="F9" s="16">
        <v>190392</v>
      </c>
      <c r="G9" s="16">
        <v>231060</v>
      </c>
      <c r="H9" s="16">
        <v>271728</v>
      </c>
      <c r="I9" s="16">
        <v>312396</v>
      </c>
      <c r="J9" s="16">
        <v>353064</v>
      </c>
      <c r="K9" s="16">
        <v>393732</v>
      </c>
      <c r="L9" s="16">
        <v>434400</v>
      </c>
      <c r="M9" s="17">
        <v>475068</v>
      </c>
    </row>
    <row r="10" spans="2:13" x14ac:dyDescent="0.25">
      <c r="B10" s="693"/>
      <c r="C10" s="51">
        <f t="shared" si="1"/>
        <v>60</v>
      </c>
      <c r="D10" s="15">
        <v>126734</v>
      </c>
      <c r="E10" s="16">
        <v>167402</v>
      </c>
      <c r="F10" s="16">
        <v>208070</v>
      </c>
      <c r="G10" s="16">
        <v>248738</v>
      </c>
      <c r="H10" s="16">
        <v>289406</v>
      </c>
      <c r="I10" s="16">
        <v>330074</v>
      </c>
      <c r="J10" s="16">
        <v>370742</v>
      </c>
      <c r="K10" s="16">
        <v>411410</v>
      </c>
      <c r="L10" s="16">
        <v>452078</v>
      </c>
      <c r="M10" s="17">
        <v>492746</v>
      </c>
    </row>
    <row r="11" spans="2:13" x14ac:dyDescent="0.25">
      <c r="B11" s="693"/>
      <c r="C11" s="51">
        <f t="shared" si="1"/>
        <v>70</v>
      </c>
      <c r="D11" s="15">
        <v>144411</v>
      </c>
      <c r="E11" s="16">
        <v>185079</v>
      </c>
      <c r="F11" s="16">
        <v>225747</v>
      </c>
      <c r="G11" s="16">
        <v>266415</v>
      </c>
      <c r="H11" s="16">
        <v>307083</v>
      </c>
      <c r="I11" s="16">
        <v>347751</v>
      </c>
      <c r="J11" s="16">
        <v>388419</v>
      </c>
      <c r="K11" s="16">
        <v>429087</v>
      </c>
      <c r="L11" s="16">
        <v>469755</v>
      </c>
      <c r="M11" s="17">
        <v>510423</v>
      </c>
    </row>
    <row r="12" spans="2:13" x14ac:dyDescent="0.25">
      <c r="B12" s="693"/>
      <c r="C12" s="51">
        <f t="shared" si="1"/>
        <v>80</v>
      </c>
      <c r="D12" s="15">
        <v>162089</v>
      </c>
      <c r="E12" s="16">
        <v>202757</v>
      </c>
      <c r="F12" s="16">
        <v>243425</v>
      </c>
      <c r="G12" s="16">
        <v>284093</v>
      </c>
      <c r="H12" s="16">
        <v>324761</v>
      </c>
      <c r="I12" s="16">
        <v>365429</v>
      </c>
      <c r="J12" s="16">
        <v>406097</v>
      </c>
      <c r="K12" s="16">
        <v>446765</v>
      </c>
      <c r="L12" s="16">
        <v>487433</v>
      </c>
      <c r="M12" s="17">
        <v>528101</v>
      </c>
    </row>
    <row r="13" spans="2:13" ht="15.75" thickBot="1" x14ac:dyDescent="0.3">
      <c r="B13" s="694"/>
      <c r="C13" s="52">
        <f t="shared" si="1"/>
        <v>90</v>
      </c>
      <c r="D13" s="12">
        <v>179767</v>
      </c>
      <c r="E13" s="13">
        <v>220435</v>
      </c>
      <c r="F13" s="13">
        <v>261103</v>
      </c>
      <c r="G13" s="13">
        <v>301771</v>
      </c>
      <c r="H13" s="13">
        <v>342439</v>
      </c>
      <c r="I13" s="13">
        <v>383107</v>
      </c>
      <c r="J13" s="13">
        <v>423775</v>
      </c>
      <c r="K13" s="13">
        <v>464443</v>
      </c>
      <c r="L13" s="13">
        <v>505111</v>
      </c>
      <c r="M13" s="14">
        <v>545779</v>
      </c>
    </row>
    <row r="14" spans="2:13" x14ac:dyDescent="0.25">
      <c r="B14" s="3"/>
      <c r="C14" s="3"/>
      <c r="D14" s="3"/>
      <c r="E14" s="3"/>
      <c r="F14" s="3"/>
      <c r="G14" s="3"/>
      <c r="H14" s="3"/>
      <c r="I14" s="3"/>
      <c r="J14" s="3"/>
      <c r="K14" s="3"/>
      <c r="L14" s="3"/>
      <c r="M14" s="3"/>
    </row>
    <row r="15" spans="2:13" ht="15.75" thickBot="1" x14ac:dyDescent="0.3">
      <c r="B15" s="3"/>
      <c r="C15" s="3"/>
      <c r="D15" s="3"/>
      <c r="E15" s="3"/>
      <c r="F15" s="3"/>
      <c r="G15" s="3"/>
      <c r="H15" s="3"/>
      <c r="I15" s="3"/>
      <c r="J15" s="3"/>
      <c r="K15" s="3"/>
      <c r="L15" s="3"/>
      <c r="M15" s="3"/>
    </row>
    <row r="16" spans="2:13" ht="15.75" thickBot="1" x14ac:dyDescent="0.3">
      <c r="B16" s="695" t="s">
        <v>25</v>
      </c>
      <c r="C16" s="696"/>
      <c r="D16" s="696"/>
      <c r="E16" s="696"/>
      <c r="F16" s="696"/>
      <c r="G16" s="696"/>
      <c r="H16" s="696"/>
      <c r="I16" s="696"/>
      <c r="J16" s="696"/>
      <c r="K16" s="696"/>
      <c r="L16" s="696"/>
      <c r="M16" s="697"/>
    </row>
    <row r="17" spans="2:13" x14ac:dyDescent="0.25">
      <c r="B17" s="7"/>
      <c r="C17" s="4"/>
      <c r="D17" s="698" t="s">
        <v>26</v>
      </c>
      <c r="E17" s="699"/>
      <c r="F17" s="699"/>
      <c r="G17" s="699"/>
      <c r="H17" s="699"/>
      <c r="I17" s="699"/>
      <c r="J17" s="699"/>
      <c r="K17" s="699"/>
      <c r="L17" s="699"/>
      <c r="M17" s="700"/>
    </row>
    <row r="18" spans="2:13" ht="15.75" thickBot="1" x14ac:dyDescent="0.3">
      <c r="B18" s="7"/>
      <c r="C18" s="58">
        <f>'3. Calculation sheet'!$D$102</f>
        <v>2.1788509829341498</v>
      </c>
      <c r="D18" s="48">
        <f t="shared" ref="D18:M18" si="2">D4</f>
        <v>10</v>
      </c>
      <c r="E18" s="49">
        <f t="shared" si="2"/>
        <v>20</v>
      </c>
      <c r="F18" s="49">
        <f t="shared" si="2"/>
        <v>30</v>
      </c>
      <c r="G18" s="49">
        <f t="shared" si="2"/>
        <v>40</v>
      </c>
      <c r="H18" s="49">
        <f t="shared" si="2"/>
        <v>50</v>
      </c>
      <c r="I18" s="49">
        <f t="shared" si="2"/>
        <v>60</v>
      </c>
      <c r="J18" s="49">
        <f t="shared" si="2"/>
        <v>70</v>
      </c>
      <c r="K18" s="49">
        <f t="shared" si="2"/>
        <v>80</v>
      </c>
      <c r="L18" s="49">
        <f t="shared" si="2"/>
        <v>90</v>
      </c>
      <c r="M18" s="50">
        <f t="shared" si="2"/>
        <v>100</v>
      </c>
    </row>
    <row r="19" spans="2:13" x14ac:dyDescent="0.25">
      <c r="B19" s="692" t="s">
        <v>27</v>
      </c>
      <c r="C19" s="59">
        <f t="shared" ref="C19:C27" si="3">C5</f>
        <v>10</v>
      </c>
      <c r="D19" s="71" t="e">
        <f t="dataTable" ref="D19:M27" dt2D="1" dtr="1" del1="1" del2="1" r1="D35" r2="D43"/>
        <v>#REF!</v>
      </c>
      <c r="E19" s="60" t="e">
        <v>#REF!</v>
      </c>
      <c r="F19" s="60" t="e">
        <v>#REF!</v>
      </c>
      <c r="G19" s="60" t="e">
        <v>#REF!</v>
      </c>
      <c r="H19" s="60" t="e">
        <v>#REF!</v>
      </c>
      <c r="I19" s="60" t="e">
        <v>#REF!</v>
      </c>
      <c r="J19" s="60" t="e">
        <v>#REF!</v>
      </c>
      <c r="K19" s="60" t="e">
        <v>#REF!</v>
      </c>
      <c r="L19" s="60" t="e">
        <v>#REF!</v>
      </c>
      <c r="M19" s="72" t="e">
        <v>#REF!</v>
      </c>
    </row>
    <row r="20" spans="2:13" x14ac:dyDescent="0.25">
      <c r="B20" s="693"/>
      <c r="C20" s="51">
        <f t="shared" si="3"/>
        <v>20</v>
      </c>
      <c r="D20" s="8" t="e">
        <v>#REF!</v>
      </c>
      <c r="E20" s="73" t="e">
        <v>#REF!</v>
      </c>
      <c r="F20" s="73" t="e">
        <v>#REF!</v>
      </c>
      <c r="G20" s="73" t="e">
        <v>#REF!</v>
      </c>
      <c r="H20" s="73" t="e">
        <v>#REF!</v>
      </c>
      <c r="I20" s="73" t="e">
        <v>#REF!</v>
      </c>
      <c r="J20" s="73" t="e">
        <v>#REF!</v>
      </c>
      <c r="K20" s="73" t="e">
        <v>#REF!</v>
      </c>
      <c r="L20" s="73" t="e">
        <v>#REF!</v>
      </c>
      <c r="M20" s="74" t="e">
        <v>#REF!</v>
      </c>
    </row>
    <row r="21" spans="2:13" x14ac:dyDescent="0.25">
      <c r="B21" s="693"/>
      <c r="C21" s="51">
        <f t="shared" si="3"/>
        <v>30</v>
      </c>
      <c r="D21" s="61" t="e">
        <v>#REF!</v>
      </c>
      <c r="E21" s="75" t="e">
        <v>#REF!</v>
      </c>
      <c r="F21" s="75" t="e">
        <v>#REF!</v>
      </c>
      <c r="G21" s="75" t="e">
        <v>#REF!</v>
      </c>
      <c r="H21" s="75" t="e">
        <v>#REF!</v>
      </c>
      <c r="I21" s="75" t="e">
        <v>#REF!</v>
      </c>
      <c r="J21" s="75" t="e">
        <v>#REF!</v>
      </c>
      <c r="K21" s="75" t="e">
        <v>#REF!</v>
      </c>
      <c r="L21" s="75" t="e">
        <v>#REF!</v>
      </c>
      <c r="M21" s="76" t="e">
        <v>#REF!</v>
      </c>
    </row>
    <row r="22" spans="2:13" x14ac:dyDescent="0.25">
      <c r="B22" s="693"/>
      <c r="C22" s="51">
        <f t="shared" si="3"/>
        <v>40</v>
      </c>
      <c r="D22" s="8" t="e">
        <v>#REF!</v>
      </c>
      <c r="E22" s="73" t="e">
        <v>#REF!</v>
      </c>
      <c r="F22" s="73" t="e">
        <v>#REF!</v>
      </c>
      <c r="G22" s="73" t="e">
        <v>#REF!</v>
      </c>
      <c r="H22" s="73" t="e">
        <v>#REF!</v>
      </c>
      <c r="I22" s="73" t="e">
        <v>#REF!</v>
      </c>
      <c r="J22" s="73" t="e">
        <v>#REF!</v>
      </c>
      <c r="K22" s="73" t="e">
        <v>#REF!</v>
      </c>
      <c r="L22" s="73" t="e">
        <v>#REF!</v>
      </c>
      <c r="M22" s="74" t="e">
        <v>#REF!</v>
      </c>
    </row>
    <row r="23" spans="2:13" x14ac:dyDescent="0.25">
      <c r="B23" s="693"/>
      <c r="C23" s="51">
        <f t="shared" si="3"/>
        <v>50</v>
      </c>
      <c r="D23" s="8" t="e">
        <v>#REF!</v>
      </c>
      <c r="E23" s="73" t="e">
        <v>#REF!</v>
      </c>
      <c r="F23" s="73" t="e">
        <v>#REF!</v>
      </c>
      <c r="G23" s="73" t="e">
        <v>#REF!</v>
      </c>
      <c r="H23" s="73" t="e">
        <v>#REF!</v>
      </c>
      <c r="I23" s="73" t="e">
        <v>#REF!</v>
      </c>
      <c r="J23" s="73" t="e">
        <v>#REF!</v>
      </c>
      <c r="K23" s="73" t="e">
        <v>#REF!</v>
      </c>
      <c r="L23" s="73" t="e">
        <v>#REF!</v>
      </c>
      <c r="M23" s="74" t="e">
        <v>#REF!</v>
      </c>
    </row>
    <row r="24" spans="2:13" x14ac:dyDescent="0.25">
      <c r="B24" s="693"/>
      <c r="C24" s="51">
        <f t="shared" si="3"/>
        <v>60</v>
      </c>
      <c r="D24" s="8" t="e">
        <v>#REF!</v>
      </c>
      <c r="E24" s="73" t="e">
        <v>#REF!</v>
      </c>
      <c r="F24" s="73" t="e">
        <v>#REF!</v>
      </c>
      <c r="G24" s="73" t="e">
        <v>#REF!</v>
      </c>
      <c r="H24" s="73" t="e">
        <v>#REF!</v>
      </c>
      <c r="I24" s="73" t="e">
        <v>#REF!</v>
      </c>
      <c r="J24" s="73" t="e">
        <v>#REF!</v>
      </c>
      <c r="K24" s="73" t="e">
        <v>#REF!</v>
      </c>
      <c r="L24" s="73" t="e">
        <v>#REF!</v>
      </c>
      <c r="M24" s="74" t="e">
        <v>#REF!</v>
      </c>
    </row>
    <row r="25" spans="2:13" x14ac:dyDescent="0.25">
      <c r="B25" s="693"/>
      <c r="C25" s="51">
        <f t="shared" si="3"/>
        <v>70</v>
      </c>
      <c r="D25" s="8" t="e">
        <v>#REF!</v>
      </c>
      <c r="E25" s="73" t="e">
        <v>#REF!</v>
      </c>
      <c r="F25" s="73" t="e">
        <v>#REF!</v>
      </c>
      <c r="G25" s="73" t="e">
        <v>#REF!</v>
      </c>
      <c r="H25" s="73" t="e">
        <v>#REF!</v>
      </c>
      <c r="I25" s="73" t="e">
        <v>#REF!</v>
      </c>
      <c r="J25" s="73" t="e">
        <v>#REF!</v>
      </c>
      <c r="K25" s="73" t="e">
        <v>#REF!</v>
      </c>
      <c r="L25" s="73" t="e">
        <v>#REF!</v>
      </c>
      <c r="M25" s="74" t="e">
        <v>#REF!</v>
      </c>
    </row>
    <row r="26" spans="2:13" x14ac:dyDescent="0.25">
      <c r="B26" s="693"/>
      <c r="C26" s="51">
        <f t="shared" si="3"/>
        <v>80</v>
      </c>
      <c r="D26" s="8" t="e">
        <v>#REF!</v>
      </c>
      <c r="E26" s="73" t="e">
        <v>#REF!</v>
      </c>
      <c r="F26" s="73" t="e">
        <v>#REF!</v>
      </c>
      <c r="G26" s="73" t="e">
        <v>#REF!</v>
      </c>
      <c r="H26" s="73" t="e">
        <v>#REF!</v>
      </c>
      <c r="I26" s="73" t="e">
        <v>#REF!</v>
      </c>
      <c r="J26" s="73" t="e">
        <v>#REF!</v>
      </c>
      <c r="K26" s="73" t="e">
        <v>#REF!</v>
      </c>
      <c r="L26" s="73" t="e">
        <v>#REF!</v>
      </c>
      <c r="M26" s="74" t="e">
        <v>#REF!</v>
      </c>
    </row>
    <row r="27" spans="2:13" ht="15.75" thickBot="1" x14ac:dyDescent="0.3">
      <c r="B27" s="694"/>
      <c r="C27" s="52">
        <f t="shared" si="3"/>
        <v>90</v>
      </c>
      <c r="D27" s="62" t="e">
        <v>#REF!</v>
      </c>
      <c r="E27" s="77" t="e">
        <v>#REF!</v>
      </c>
      <c r="F27" s="77" t="e">
        <v>#REF!</v>
      </c>
      <c r="G27" s="77" t="e">
        <v>#REF!</v>
      </c>
      <c r="H27" s="77" t="e">
        <v>#REF!</v>
      </c>
      <c r="I27" s="77" t="e">
        <v>#REF!</v>
      </c>
      <c r="J27" s="77" t="e">
        <v>#REF!</v>
      </c>
      <c r="K27" s="77" t="e">
        <v>#REF!</v>
      </c>
      <c r="L27" s="77" t="e">
        <v>#REF!</v>
      </c>
      <c r="M27" s="78" t="e">
        <v>#REF!</v>
      </c>
    </row>
    <row r="28" spans="2:13" x14ac:dyDescent="0.25">
      <c r="B28" s="3"/>
      <c r="C28" s="3"/>
      <c r="D28" s="3"/>
      <c r="E28" s="3"/>
      <c r="F28" s="3"/>
      <c r="G28" s="3"/>
      <c r="H28" s="3"/>
      <c r="I28" s="3"/>
      <c r="J28" s="3"/>
      <c r="K28" s="3"/>
      <c r="L28" s="3"/>
      <c r="M28" s="3"/>
    </row>
    <row r="29" spans="2:13" ht="15.75" thickBot="1" x14ac:dyDescent="0.3">
      <c r="B29" s="3"/>
      <c r="C29" s="3"/>
      <c r="D29" s="3"/>
      <c r="E29" s="3"/>
      <c r="F29" s="3"/>
      <c r="G29" s="3"/>
      <c r="H29" s="3"/>
      <c r="I29" s="3"/>
      <c r="J29" s="3"/>
      <c r="K29" s="3"/>
      <c r="L29" s="3"/>
      <c r="M29" s="3"/>
    </row>
    <row r="30" spans="2:13" ht="15.75" thickBot="1" x14ac:dyDescent="0.3">
      <c r="B30" s="704" t="s">
        <v>22</v>
      </c>
      <c r="C30" s="705"/>
      <c r="D30" s="705"/>
      <c r="E30" s="705"/>
      <c r="F30" s="705"/>
      <c r="G30" s="705"/>
      <c r="H30" s="705"/>
      <c r="I30" s="705"/>
      <c r="J30" s="705"/>
      <c r="K30" s="705"/>
      <c r="L30" s="705"/>
      <c r="M30" s="706"/>
    </row>
    <row r="31" spans="2:13" x14ac:dyDescent="0.25">
      <c r="B31" s="7"/>
      <c r="C31" s="4"/>
      <c r="D31" s="698" t="s">
        <v>26</v>
      </c>
      <c r="E31" s="699"/>
      <c r="F31" s="699"/>
      <c r="G31" s="699"/>
      <c r="H31" s="699"/>
      <c r="I31" s="699"/>
      <c r="J31" s="699"/>
      <c r="K31" s="699"/>
      <c r="L31" s="699"/>
      <c r="M31" s="700"/>
    </row>
    <row r="32" spans="2:13" ht="15.75" thickBot="1" x14ac:dyDescent="0.3">
      <c r="B32" s="7"/>
      <c r="C32" s="58">
        <f>'3. Calculation sheet'!$D$104</f>
        <v>613660.25252372597</v>
      </c>
      <c r="D32" s="48">
        <f t="shared" ref="D32:M32" si="4">D4</f>
        <v>10</v>
      </c>
      <c r="E32" s="49">
        <f t="shared" si="4"/>
        <v>20</v>
      </c>
      <c r="F32" s="49">
        <f t="shared" si="4"/>
        <v>30</v>
      </c>
      <c r="G32" s="49">
        <f t="shared" si="4"/>
        <v>40</v>
      </c>
      <c r="H32" s="49">
        <f t="shared" si="4"/>
        <v>50</v>
      </c>
      <c r="I32" s="49">
        <f t="shared" si="4"/>
        <v>60</v>
      </c>
      <c r="J32" s="49">
        <f t="shared" si="4"/>
        <v>70</v>
      </c>
      <c r="K32" s="49">
        <f t="shared" si="4"/>
        <v>80</v>
      </c>
      <c r="L32" s="49">
        <f t="shared" si="4"/>
        <v>90</v>
      </c>
      <c r="M32" s="50">
        <f t="shared" si="4"/>
        <v>100</v>
      </c>
    </row>
    <row r="33" spans="2:13" x14ac:dyDescent="0.25">
      <c r="B33" s="701" t="s">
        <v>27</v>
      </c>
      <c r="C33" s="59">
        <f t="shared" ref="C33:C41" si="5">C5</f>
        <v>10</v>
      </c>
      <c r="D33" s="79" t="e">
        <f t="dataTable" ref="D33:M41" dt2D="1" dtr="1" del1="1" del2="1" r1="D43" r2="D35"/>
        <v>#REF!</v>
      </c>
      <c r="E33" s="63" t="e">
        <v>#REF!</v>
      </c>
      <c r="F33" s="63" t="e">
        <v>#REF!</v>
      </c>
      <c r="G33" s="63" t="e">
        <v>#REF!</v>
      </c>
      <c r="H33" s="63" t="e">
        <v>#REF!</v>
      </c>
      <c r="I33" s="63" t="e">
        <v>#REF!</v>
      </c>
      <c r="J33" s="63" t="e">
        <v>#REF!</v>
      </c>
      <c r="K33" s="63" t="e">
        <v>#REF!</v>
      </c>
      <c r="L33" s="63" t="e">
        <v>#REF!</v>
      </c>
      <c r="M33" s="66" t="e">
        <v>#REF!</v>
      </c>
    </row>
    <row r="34" spans="2:13" x14ac:dyDescent="0.25">
      <c r="B34" s="702"/>
      <c r="C34" s="51">
        <f t="shared" si="5"/>
        <v>20</v>
      </c>
      <c r="D34" s="9" t="e">
        <v>#REF!</v>
      </c>
      <c r="E34" s="80" t="e">
        <v>#REF!</v>
      </c>
      <c r="F34" s="80" t="e">
        <v>#REF!</v>
      </c>
      <c r="G34" s="80" t="e">
        <v>#REF!</v>
      </c>
      <c r="H34" s="80" t="e">
        <v>#REF!</v>
      </c>
      <c r="I34" s="80" t="e">
        <v>#REF!</v>
      </c>
      <c r="J34" s="80" t="e">
        <v>#REF!</v>
      </c>
      <c r="K34" s="80" t="e">
        <v>#REF!</v>
      </c>
      <c r="L34" s="80" t="e">
        <v>#REF!</v>
      </c>
      <c r="M34" s="67" t="e">
        <v>#REF!</v>
      </c>
    </row>
    <row r="35" spans="2:13" x14ac:dyDescent="0.25">
      <c r="B35" s="702"/>
      <c r="C35" s="51">
        <f t="shared" si="5"/>
        <v>30</v>
      </c>
      <c r="D35" s="64" t="e">
        <v>#REF!</v>
      </c>
      <c r="E35" s="81" t="e">
        <v>#REF!</v>
      </c>
      <c r="F35" s="81" t="e">
        <v>#REF!</v>
      </c>
      <c r="G35" s="81" t="e">
        <v>#REF!</v>
      </c>
      <c r="H35" s="81" t="e">
        <v>#REF!</v>
      </c>
      <c r="I35" s="81" t="e">
        <v>#REF!</v>
      </c>
      <c r="J35" s="81" t="e">
        <v>#REF!</v>
      </c>
      <c r="K35" s="81" t="e">
        <v>#REF!</v>
      </c>
      <c r="L35" s="81" t="e">
        <v>#REF!</v>
      </c>
      <c r="M35" s="82" t="e">
        <v>#REF!</v>
      </c>
    </row>
    <row r="36" spans="2:13" x14ac:dyDescent="0.25">
      <c r="B36" s="702"/>
      <c r="C36" s="51">
        <f t="shared" si="5"/>
        <v>40</v>
      </c>
      <c r="D36" s="9" t="e">
        <v>#REF!</v>
      </c>
      <c r="E36" s="80" t="e">
        <v>#REF!</v>
      </c>
      <c r="F36" s="80" t="e">
        <v>#REF!</v>
      </c>
      <c r="G36" s="80" t="e">
        <v>#REF!</v>
      </c>
      <c r="H36" s="80" t="e">
        <v>#REF!</v>
      </c>
      <c r="I36" s="80" t="e">
        <v>#REF!</v>
      </c>
      <c r="J36" s="80" t="e">
        <v>#REF!</v>
      </c>
      <c r="K36" s="80" t="e">
        <v>#REF!</v>
      </c>
      <c r="L36" s="80" t="e">
        <v>#REF!</v>
      </c>
      <c r="M36" s="67" t="e">
        <v>#REF!</v>
      </c>
    </row>
    <row r="37" spans="2:13" x14ac:dyDescent="0.25">
      <c r="B37" s="702"/>
      <c r="C37" s="51">
        <f t="shared" si="5"/>
        <v>50</v>
      </c>
      <c r="D37" s="9" t="e">
        <v>#REF!</v>
      </c>
      <c r="E37" s="80" t="e">
        <v>#REF!</v>
      </c>
      <c r="F37" s="80" t="e">
        <v>#REF!</v>
      </c>
      <c r="G37" s="80" t="e">
        <v>#REF!</v>
      </c>
      <c r="H37" s="80" t="e">
        <v>#REF!</v>
      </c>
      <c r="I37" s="80" t="e">
        <v>#REF!</v>
      </c>
      <c r="J37" s="80" t="e">
        <v>#REF!</v>
      </c>
      <c r="K37" s="80" t="e">
        <v>#REF!</v>
      </c>
      <c r="L37" s="80" t="e">
        <v>#REF!</v>
      </c>
      <c r="M37" s="67" t="e">
        <v>#REF!</v>
      </c>
    </row>
    <row r="38" spans="2:13" x14ac:dyDescent="0.25">
      <c r="B38" s="702"/>
      <c r="C38" s="51">
        <f t="shared" si="5"/>
        <v>60</v>
      </c>
      <c r="D38" s="9" t="e">
        <v>#REF!</v>
      </c>
      <c r="E38" s="80" t="e">
        <v>#REF!</v>
      </c>
      <c r="F38" s="80" t="e">
        <v>#REF!</v>
      </c>
      <c r="G38" s="80" t="e">
        <v>#REF!</v>
      </c>
      <c r="H38" s="80" t="e">
        <v>#REF!</v>
      </c>
      <c r="I38" s="80" t="e">
        <v>#REF!</v>
      </c>
      <c r="J38" s="80" t="e">
        <v>#REF!</v>
      </c>
      <c r="K38" s="80" t="e">
        <v>#REF!</v>
      </c>
      <c r="L38" s="80" t="e">
        <v>#REF!</v>
      </c>
      <c r="M38" s="67" t="e">
        <v>#REF!</v>
      </c>
    </row>
    <row r="39" spans="2:13" x14ac:dyDescent="0.25">
      <c r="B39" s="702"/>
      <c r="C39" s="51">
        <f t="shared" si="5"/>
        <v>70</v>
      </c>
      <c r="D39" s="9" t="e">
        <v>#REF!</v>
      </c>
      <c r="E39" s="80" t="e">
        <v>#REF!</v>
      </c>
      <c r="F39" s="80" t="e">
        <v>#REF!</v>
      </c>
      <c r="G39" s="80" t="e">
        <v>#REF!</v>
      </c>
      <c r="H39" s="80" t="e">
        <v>#REF!</v>
      </c>
      <c r="I39" s="80" t="e">
        <v>#REF!</v>
      </c>
      <c r="J39" s="80" t="e">
        <v>#REF!</v>
      </c>
      <c r="K39" s="80" t="e">
        <v>#REF!</v>
      </c>
      <c r="L39" s="80" t="e">
        <v>#REF!</v>
      </c>
      <c r="M39" s="67" t="e">
        <v>#REF!</v>
      </c>
    </row>
    <row r="40" spans="2:13" x14ac:dyDescent="0.25">
      <c r="B40" s="702"/>
      <c r="C40" s="51">
        <f t="shared" si="5"/>
        <v>80</v>
      </c>
      <c r="D40" s="9" t="e">
        <v>#REF!</v>
      </c>
      <c r="E40" s="80" t="e">
        <v>#REF!</v>
      </c>
      <c r="F40" s="80" t="e">
        <v>#REF!</v>
      </c>
      <c r="G40" s="80" t="e">
        <v>#REF!</v>
      </c>
      <c r="H40" s="80" t="e">
        <v>#REF!</v>
      </c>
      <c r="I40" s="80" t="e">
        <v>#REF!</v>
      </c>
      <c r="J40" s="80" t="e">
        <v>#REF!</v>
      </c>
      <c r="K40" s="80" t="e">
        <v>#REF!</v>
      </c>
      <c r="L40" s="80" t="e">
        <v>#REF!</v>
      </c>
      <c r="M40" s="67" t="e">
        <v>#REF!</v>
      </c>
    </row>
    <row r="41" spans="2:13" ht="15.75" thickBot="1" x14ac:dyDescent="0.3">
      <c r="B41" s="703"/>
      <c r="C41" s="52">
        <f t="shared" si="5"/>
        <v>90</v>
      </c>
      <c r="D41" s="65" t="e">
        <v>#REF!</v>
      </c>
      <c r="E41" s="83" t="e">
        <v>#REF!</v>
      </c>
      <c r="F41" s="83" t="e">
        <v>#REF!</v>
      </c>
      <c r="G41" s="83" t="e">
        <v>#REF!</v>
      </c>
      <c r="H41" s="83" t="e">
        <v>#REF!</v>
      </c>
      <c r="I41" s="83" t="e">
        <v>#REF!</v>
      </c>
      <c r="J41" s="83" t="e">
        <v>#REF!</v>
      </c>
      <c r="K41" s="83" t="e">
        <v>#REF!</v>
      </c>
      <c r="L41" s="83" t="e">
        <v>#REF!</v>
      </c>
      <c r="M41" s="84" t="e">
        <v>#REF!</v>
      </c>
    </row>
    <row r="42" spans="2:13" x14ac:dyDescent="0.25">
      <c r="B42" s="3"/>
      <c r="C42" s="3"/>
      <c r="D42" s="3"/>
      <c r="E42" s="3"/>
      <c r="F42" s="3"/>
      <c r="G42" s="3"/>
      <c r="H42" s="3"/>
      <c r="I42" s="3"/>
      <c r="J42" s="3"/>
      <c r="K42" s="3"/>
      <c r="L42" s="3"/>
      <c r="M42" s="3"/>
    </row>
    <row r="43" spans="2:13" ht="15.75" thickBot="1" x14ac:dyDescent="0.3">
      <c r="B43" s="3"/>
      <c r="C43" s="3"/>
      <c r="D43" s="3"/>
      <c r="E43" s="3"/>
      <c r="F43" s="3"/>
      <c r="G43" s="3"/>
      <c r="H43" s="3"/>
      <c r="I43" s="3"/>
      <c r="J43" s="3"/>
      <c r="K43" s="3"/>
      <c r="L43" s="3"/>
      <c r="M43" s="3"/>
    </row>
    <row r="44" spans="2:13" ht="15.75" thickBot="1" x14ac:dyDescent="0.3">
      <c r="B44" s="707" t="s">
        <v>28</v>
      </c>
      <c r="C44" s="708"/>
      <c r="D44" s="708"/>
      <c r="E44" s="708"/>
      <c r="F44" s="708"/>
      <c r="G44" s="708"/>
      <c r="H44" s="708"/>
      <c r="I44" s="708"/>
      <c r="J44" s="708"/>
      <c r="K44" s="708"/>
      <c r="L44" s="708"/>
      <c r="M44" s="709"/>
    </row>
    <row r="45" spans="2:13" x14ac:dyDescent="0.25">
      <c r="B45" s="7"/>
      <c r="C45" s="4"/>
      <c r="D45" s="698" t="s">
        <v>26</v>
      </c>
      <c r="E45" s="699"/>
      <c r="F45" s="699"/>
      <c r="G45" s="699"/>
      <c r="H45" s="699"/>
      <c r="I45" s="699"/>
      <c r="J45" s="699"/>
      <c r="K45" s="699"/>
      <c r="L45" s="699"/>
      <c r="M45" s="700"/>
    </row>
    <row r="46" spans="2:13" ht="15.75" thickBot="1" x14ac:dyDescent="0.3">
      <c r="B46" s="7"/>
      <c r="C46" s="58">
        <f>'3. Calculation sheet'!$D$102</f>
        <v>2.1788509829341498</v>
      </c>
      <c r="D46" s="48">
        <f t="shared" ref="D46:M46" si="6">D18</f>
        <v>10</v>
      </c>
      <c r="E46" s="49">
        <f t="shared" si="6"/>
        <v>20</v>
      </c>
      <c r="F46" s="49">
        <f t="shared" si="6"/>
        <v>30</v>
      </c>
      <c r="G46" s="49">
        <f t="shared" si="6"/>
        <v>40</v>
      </c>
      <c r="H46" s="49">
        <f t="shared" si="6"/>
        <v>50</v>
      </c>
      <c r="I46" s="49">
        <f t="shared" si="6"/>
        <v>60</v>
      </c>
      <c r="J46" s="49">
        <f t="shared" si="6"/>
        <v>70</v>
      </c>
      <c r="K46" s="49">
        <f t="shared" si="6"/>
        <v>80</v>
      </c>
      <c r="L46" s="49">
        <f t="shared" si="6"/>
        <v>90</v>
      </c>
      <c r="M46" s="49">
        <f t="shared" si="6"/>
        <v>100</v>
      </c>
    </row>
    <row r="47" spans="2:13" x14ac:dyDescent="0.25">
      <c r="B47" s="701" t="s">
        <v>27</v>
      </c>
      <c r="C47" s="59">
        <f t="shared" ref="C47:C55" si="7">C19</f>
        <v>10</v>
      </c>
      <c r="D47" s="71" t="e">
        <f t="dataTable" ref="D47:M55" dt2D="1" dtr="1" del1="1" del2="1" r1="D35" r2="D43"/>
        <v>#REF!</v>
      </c>
      <c r="E47" s="60" t="e">
        <v>#REF!</v>
      </c>
      <c r="F47" s="60" t="e">
        <v>#REF!</v>
      </c>
      <c r="G47" s="60" t="e">
        <v>#REF!</v>
      </c>
      <c r="H47" s="60" t="e">
        <v>#REF!</v>
      </c>
      <c r="I47" s="60" t="e">
        <v>#REF!</v>
      </c>
      <c r="J47" s="60" t="e">
        <v>#REF!</v>
      </c>
      <c r="K47" s="60" t="e">
        <v>#REF!</v>
      </c>
      <c r="L47" s="60" t="e">
        <v>#REF!</v>
      </c>
      <c r="M47" s="72" t="e">
        <v>#REF!</v>
      </c>
    </row>
    <row r="48" spans="2:13" x14ac:dyDescent="0.25">
      <c r="B48" s="702"/>
      <c r="C48" s="51">
        <f t="shared" si="7"/>
        <v>20</v>
      </c>
      <c r="D48" s="8" t="e">
        <v>#REF!</v>
      </c>
      <c r="E48" s="73" t="e">
        <v>#REF!</v>
      </c>
      <c r="F48" s="73" t="e">
        <v>#REF!</v>
      </c>
      <c r="G48" s="73" t="e">
        <v>#REF!</v>
      </c>
      <c r="H48" s="73" t="e">
        <v>#REF!</v>
      </c>
      <c r="I48" s="73" t="e">
        <v>#REF!</v>
      </c>
      <c r="J48" s="73" t="e">
        <v>#REF!</v>
      </c>
      <c r="K48" s="73" t="e">
        <v>#REF!</v>
      </c>
      <c r="L48" s="73" t="e">
        <v>#REF!</v>
      </c>
      <c r="M48" s="74" t="e">
        <v>#REF!</v>
      </c>
    </row>
    <row r="49" spans="2:13" x14ac:dyDescent="0.25">
      <c r="B49" s="702"/>
      <c r="C49" s="51">
        <f t="shared" si="7"/>
        <v>30</v>
      </c>
      <c r="D49" s="61" t="e">
        <v>#REF!</v>
      </c>
      <c r="E49" s="75" t="e">
        <v>#REF!</v>
      </c>
      <c r="F49" s="75" t="e">
        <v>#REF!</v>
      </c>
      <c r="G49" s="75" t="e">
        <v>#REF!</v>
      </c>
      <c r="H49" s="75" t="e">
        <v>#REF!</v>
      </c>
      <c r="I49" s="75" t="e">
        <v>#REF!</v>
      </c>
      <c r="J49" s="75" t="e">
        <v>#REF!</v>
      </c>
      <c r="K49" s="75" t="e">
        <v>#REF!</v>
      </c>
      <c r="L49" s="75" t="e">
        <v>#REF!</v>
      </c>
      <c r="M49" s="76" t="e">
        <v>#REF!</v>
      </c>
    </row>
    <row r="50" spans="2:13" x14ac:dyDescent="0.25">
      <c r="B50" s="702"/>
      <c r="C50" s="51">
        <f t="shared" si="7"/>
        <v>40</v>
      </c>
      <c r="D50" s="8" t="e">
        <v>#REF!</v>
      </c>
      <c r="E50" s="73" t="e">
        <v>#REF!</v>
      </c>
      <c r="F50" s="73" t="e">
        <v>#REF!</v>
      </c>
      <c r="G50" s="73" t="e">
        <v>#REF!</v>
      </c>
      <c r="H50" s="73" t="e">
        <v>#REF!</v>
      </c>
      <c r="I50" s="73" t="e">
        <v>#REF!</v>
      </c>
      <c r="J50" s="73" t="e">
        <v>#REF!</v>
      </c>
      <c r="K50" s="73" t="e">
        <v>#REF!</v>
      </c>
      <c r="L50" s="73" t="e">
        <v>#REF!</v>
      </c>
      <c r="M50" s="74" t="e">
        <v>#REF!</v>
      </c>
    </row>
    <row r="51" spans="2:13" x14ac:dyDescent="0.25">
      <c r="B51" s="702"/>
      <c r="C51" s="51">
        <f t="shared" si="7"/>
        <v>50</v>
      </c>
      <c r="D51" s="8" t="e">
        <v>#REF!</v>
      </c>
      <c r="E51" s="73" t="e">
        <v>#REF!</v>
      </c>
      <c r="F51" s="73" t="e">
        <v>#REF!</v>
      </c>
      <c r="G51" s="73" t="e">
        <v>#REF!</v>
      </c>
      <c r="H51" s="73" t="e">
        <v>#REF!</v>
      </c>
      <c r="I51" s="73" t="e">
        <v>#REF!</v>
      </c>
      <c r="J51" s="73" t="e">
        <v>#REF!</v>
      </c>
      <c r="K51" s="73" t="e">
        <v>#REF!</v>
      </c>
      <c r="L51" s="73" t="e">
        <v>#REF!</v>
      </c>
      <c r="M51" s="74" t="e">
        <v>#REF!</v>
      </c>
    </row>
    <row r="52" spans="2:13" x14ac:dyDescent="0.25">
      <c r="B52" s="702"/>
      <c r="C52" s="51">
        <f t="shared" si="7"/>
        <v>60</v>
      </c>
      <c r="D52" s="8" t="e">
        <v>#REF!</v>
      </c>
      <c r="E52" s="73" t="e">
        <v>#REF!</v>
      </c>
      <c r="F52" s="73" t="e">
        <v>#REF!</v>
      </c>
      <c r="G52" s="73" t="e">
        <v>#REF!</v>
      </c>
      <c r="H52" s="73" t="e">
        <v>#REF!</v>
      </c>
      <c r="I52" s="73" t="e">
        <v>#REF!</v>
      </c>
      <c r="J52" s="73" t="e">
        <v>#REF!</v>
      </c>
      <c r="K52" s="73" t="e">
        <v>#REF!</v>
      </c>
      <c r="L52" s="73" t="e">
        <v>#REF!</v>
      </c>
      <c r="M52" s="74" t="e">
        <v>#REF!</v>
      </c>
    </row>
    <row r="53" spans="2:13" x14ac:dyDescent="0.25">
      <c r="B53" s="702"/>
      <c r="C53" s="51">
        <f t="shared" si="7"/>
        <v>70</v>
      </c>
      <c r="D53" s="8" t="e">
        <v>#REF!</v>
      </c>
      <c r="E53" s="73" t="e">
        <v>#REF!</v>
      </c>
      <c r="F53" s="73" t="e">
        <v>#REF!</v>
      </c>
      <c r="G53" s="73" t="e">
        <v>#REF!</v>
      </c>
      <c r="H53" s="73" t="e">
        <v>#REF!</v>
      </c>
      <c r="I53" s="73" t="e">
        <v>#REF!</v>
      </c>
      <c r="J53" s="73" t="e">
        <v>#REF!</v>
      </c>
      <c r="K53" s="73" t="e">
        <v>#REF!</v>
      </c>
      <c r="L53" s="73" t="e">
        <v>#REF!</v>
      </c>
      <c r="M53" s="74" t="e">
        <v>#REF!</v>
      </c>
    </row>
    <row r="54" spans="2:13" x14ac:dyDescent="0.25">
      <c r="B54" s="702"/>
      <c r="C54" s="51">
        <f t="shared" si="7"/>
        <v>80</v>
      </c>
      <c r="D54" s="8" t="e">
        <v>#REF!</v>
      </c>
      <c r="E54" s="73" t="e">
        <v>#REF!</v>
      </c>
      <c r="F54" s="73" t="e">
        <v>#REF!</v>
      </c>
      <c r="G54" s="73" t="e">
        <v>#REF!</v>
      </c>
      <c r="H54" s="73" t="e">
        <v>#REF!</v>
      </c>
      <c r="I54" s="73" t="e">
        <v>#REF!</v>
      </c>
      <c r="J54" s="73" t="e">
        <v>#REF!</v>
      </c>
      <c r="K54" s="73" t="e">
        <v>#REF!</v>
      </c>
      <c r="L54" s="73" t="e">
        <v>#REF!</v>
      </c>
      <c r="M54" s="74" t="e">
        <v>#REF!</v>
      </c>
    </row>
    <row r="55" spans="2:13" ht="15.75" thickBot="1" x14ac:dyDescent="0.3">
      <c r="B55" s="703"/>
      <c r="C55" s="52">
        <f t="shared" si="7"/>
        <v>90</v>
      </c>
      <c r="D55" s="62" t="e">
        <v>#REF!</v>
      </c>
      <c r="E55" s="77" t="e">
        <v>#REF!</v>
      </c>
      <c r="F55" s="77" t="e">
        <v>#REF!</v>
      </c>
      <c r="G55" s="77" t="e">
        <v>#REF!</v>
      </c>
      <c r="H55" s="77" t="e">
        <v>#REF!</v>
      </c>
      <c r="I55" s="77" t="e">
        <v>#REF!</v>
      </c>
      <c r="J55" s="77" t="e">
        <v>#REF!</v>
      </c>
      <c r="K55" s="77" t="e">
        <v>#REF!</v>
      </c>
      <c r="L55" s="77" t="e">
        <v>#REF!</v>
      </c>
      <c r="M55" s="78" t="e">
        <v>#REF!</v>
      </c>
    </row>
  </sheetData>
  <mergeCells count="12">
    <mergeCell ref="B47:B55"/>
    <mergeCell ref="B19:B27"/>
    <mergeCell ref="B30:M30"/>
    <mergeCell ref="D31:M31"/>
    <mergeCell ref="B33:B41"/>
    <mergeCell ref="B44:M44"/>
    <mergeCell ref="D45:M45"/>
    <mergeCell ref="B2:M2"/>
    <mergeCell ref="D3:M3"/>
    <mergeCell ref="B5:B13"/>
    <mergeCell ref="B16:M16"/>
    <mergeCell ref="D17:M17"/>
  </mergeCells>
  <conditionalFormatting sqref="D33:M41">
    <cfRule type="cellIs" dxfId="3" priority="3" operator="greaterThan">
      <formula>0</formula>
    </cfRule>
    <cfRule type="cellIs" dxfId="2" priority="4" operator="lessThan">
      <formula>0</formula>
    </cfRule>
  </conditionalFormatting>
  <conditionalFormatting sqref="D47:M55">
    <cfRule type="cellIs" dxfId="1" priority="1" operator="greaterThan">
      <formula>0</formula>
    </cfRule>
    <cfRule type="cellIs" dxfId="0" priority="2" operator="lessThan">
      <formula>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EC2F3-338D-4B02-915D-0B3BE17A3DB1}">
  <dimension ref="B2:S28"/>
  <sheetViews>
    <sheetView workbookViewId="0">
      <selection activeCell="I17" sqref="I17"/>
    </sheetView>
  </sheetViews>
  <sheetFormatPr defaultRowHeight="15" x14ac:dyDescent="0.25"/>
  <cols>
    <col min="2" max="2" width="34.5703125" bestFit="1" customWidth="1"/>
    <col min="3" max="3" width="11.5703125" bestFit="1" customWidth="1"/>
    <col min="4" max="4" width="10.85546875" customWidth="1"/>
    <col min="5" max="5" width="14.42578125" bestFit="1" customWidth="1"/>
    <col min="6" max="6" width="18.7109375" bestFit="1" customWidth="1"/>
    <col min="7" max="7" width="15.140625" bestFit="1" customWidth="1"/>
    <col min="9" max="9" width="34.5703125" style="1" bestFit="1" customWidth="1"/>
    <col min="10" max="10" width="11.5703125" style="10" bestFit="1" customWidth="1"/>
    <col min="11" max="11" width="10" style="10" bestFit="1" customWidth="1"/>
    <col min="12" max="12" width="8" style="10" bestFit="1" customWidth="1"/>
    <col min="13" max="13" width="11.28515625" style="10" bestFit="1" customWidth="1"/>
    <col min="14" max="14" width="13.85546875" customWidth="1"/>
    <col min="15" max="15" width="5.7109375" customWidth="1"/>
    <col min="16" max="16" width="18.7109375" customWidth="1"/>
    <col min="17" max="17" width="9.5703125" customWidth="1"/>
    <col min="18" max="18" width="8.5703125" customWidth="1"/>
  </cols>
  <sheetData>
    <row r="2" spans="2:19" x14ac:dyDescent="0.25">
      <c r="B2" s="712" t="s">
        <v>54</v>
      </c>
      <c r="C2" s="712"/>
      <c r="D2" s="712"/>
      <c r="E2" s="712"/>
      <c r="F2" s="712"/>
      <c r="I2" s="711" t="s">
        <v>29</v>
      </c>
      <c r="J2" s="711"/>
      <c r="K2" s="711"/>
      <c r="L2" s="711"/>
      <c r="M2" s="711"/>
    </row>
    <row r="3" spans="2:19" x14ac:dyDescent="0.25">
      <c r="C3" t="s">
        <v>35</v>
      </c>
      <c r="I3" s="710" t="s">
        <v>42</v>
      </c>
      <c r="J3" s="710"/>
      <c r="K3" s="710"/>
      <c r="L3" s="710"/>
      <c r="M3" s="710"/>
    </row>
    <row r="4" spans="2:19" x14ac:dyDescent="0.25">
      <c r="B4" t="s">
        <v>48</v>
      </c>
      <c r="C4" t="s">
        <v>52</v>
      </c>
      <c r="D4">
        <v>2.5</v>
      </c>
      <c r="E4" s="31">
        <v>22</v>
      </c>
      <c r="F4" s="31">
        <f>D4*E4</f>
        <v>55</v>
      </c>
      <c r="G4" s="10"/>
      <c r="H4" s="10"/>
      <c r="J4" s="10" t="s">
        <v>35</v>
      </c>
      <c r="K4" s="10" t="s">
        <v>36</v>
      </c>
      <c r="L4" s="10" t="s">
        <v>34</v>
      </c>
      <c r="M4" s="10" t="s">
        <v>37</v>
      </c>
      <c r="N4" s="10" t="s">
        <v>62</v>
      </c>
      <c r="P4" t="s">
        <v>30</v>
      </c>
    </row>
    <row r="5" spans="2:19" ht="17.25" x14ac:dyDescent="0.35">
      <c r="B5" t="s">
        <v>49</v>
      </c>
      <c r="C5" t="s">
        <v>52</v>
      </c>
      <c r="D5">
        <v>5</v>
      </c>
      <c r="E5" s="31">
        <v>25</v>
      </c>
      <c r="F5" s="31">
        <f t="shared" ref="F5:F7" si="0">D5*E5</f>
        <v>125</v>
      </c>
      <c r="I5" s="21" t="s">
        <v>32</v>
      </c>
      <c r="J5" s="22" t="s">
        <v>33</v>
      </c>
      <c r="K5" s="23">
        <v>71.25</v>
      </c>
      <c r="L5" s="11">
        <v>15.71</v>
      </c>
      <c r="M5" s="11">
        <f>L5*K5</f>
        <v>1119.3375000000001</v>
      </c>
      <c r="N5" s="19">
        <f>M5/0.72</f>
        <v>1554.6354166666667</v>
      </c>
      <c r="O5" s="40">
        <v>1</v>
      </c>
      <c r="P5" s="18" t="s">
        <v>31</v>
      </c>
    </row>
    <row r="6" spans="2:19" ht="17.25" x14ac:dyDescent="0.35">
      <c r="B6" t="s">
        <v>50</v>
      </c>
      <c r="C6" t="s">
        <v>53</v>
      </c>
      <c r="D6">
        <v>1600</v>
      </c>
      <c r="E6" s="31">
        <v>0.5</v>
      </c>
      <c r="F6" s="31">
        <f t="shared" si="0"/>
        <v>800</v>
      </c>
      <c r="I6" s="21" t="s">
        <v>38</v>
      </c>
      <c r="J6" s="22" t="s">
        <v>33</v>
      </c>
      <c r="K6" s="23">
        <v>89.08</v>
      </c>
      <c r="L6" s="11">
        <v>15.71</v>
      </c>
      <c r="M6" s="11">
        <f t="shared" ref="M6:M8" si="1">L6*K6</f>
        <v>1399.4467999999999</v>
      </c>
      <c r="N6" s="20">
        <f t="shared" ref="N6:N13" si="2">M6/0.72</f>
        <v>1943.6761111111111</v>
      </c>
      <c r="O6" s="10">
        <v>2</v>
      </c>
      <c r="P6" s="18" t="s">
        <v>47</v>
      </c>
    </row>
    <row r="7" spans="2:19" ht="18" thickBot="1" x14ac:dyDescent="0.4">
      <c r="B7" s="32" t="s">
        <v>51</v>
      </c>
      <c r="C7" s="32" t="s">
        <v>53</v>
      </c>
      <c r="D7" s="32">
        <v>1440</v>
      </c>
      <c r="E7" s="33">
        <v>3.5</v>
      </c>
      <c r="F7" s="33">
        <f t="shared" si="0"/>
        <v>5040</v>
      </c>
      <c r="I7" s="21" t="s">
        <v>39</v>
      </c>
      <c r="J7" s="22" t="s">
        <v>40</v>
      </c>
      <c r="K7" s="23">
        <v>712.5</v>
      </c>
      <c r="L7" s="11">
        <v>3.77</v>
      </c>
      <c r="M7" s="11">
        <f t="shared" si="1"/>
        <v>2686.125</v>
      </c>
      <c r="N7" s="20">
        <f t="shared" si="2"/>
        <v>3730.729166666667</v>
      </c>
      <c r="O7" s="40">
        <v>3</v>
      </c>
      <c r="P7" s="18" t="s">
        <v>55</v>
      </c>
      <c r="S7" s="35">
        <v>0.453592</v>
      </c>
    </row>
    <row r="8" spans="2:19" ht="18" thickTop="1" x14ac:dyDescent="0.35">
      <c r="F8" s="34">
        <f>SUM(F4:F7)</f>
        <v>6020</v>
      </c>
      <c r="I8" s="21" t="s">
        <v>41</v>
      </c>
      <c r="J8" s="22" t="s">
        <v>40</v>
      </c>
      <c r="K8" s="24">
        <v>750</v>
      </c>
      <c r="L8" s="11">
        <v>1.26</v>
      </c>
      <c r="M8" s="11">
        <f t="shared" si="1"/>
        <v>945</v>
      </c>
      <c r="N8" s="20">
        <f t="shared" si="2"/>
        <v>1312.5</v>
      </c>
      <c r="O8" s="10">
        <v>4</v>
      </c>
      <c r="P8" s="18" t="s">
        <v>60</v>
      </c>
    </row>
    <row r="9" spans="2:19" ht="21" customHeight="1" x14ac:dyDescent="0.3">
      <c r="I9" s="5"/>
      <c r="J9" s="2"/>
      <c r="K9" s="2"/>
      <c r="L9" s="2"/>
      <c r="M9" s="2"/>
      <c r="N9" s="20"/>
      <c r="O9" s="40">
        <v>5</v>
      </c>
      <c r="P9" s="18" t="s">
        <v>70</v>
      </c>
    </row>
    <row r="10" spans="2:19" ht="17.25" x14ac:dyDescent="0.35">
      <c r="B10" s="30" t="s">
        <v>46</v>
      </c>
      <c r="C10" s="11"/>
      <c r="D10" s="11"/>
      <c r="E10" s="11"/>
      <c r="F10" s="46">
        <f>SUM(F4:F7)/(D7*50)</f>
        <v>8.3611111111111108E-2</v>
      </c>
      <c r="I10" s="25" t="s">
        <v>43</v>
      </c>
      <c r="J10" s="26" t="s">
        <v>44</v>
      </c>
      <c r="K10" s="27">
        <v>750</v>
      </c>
      <c r="L10" s="28">
        <v>15.62</v>
      </c>
      <c r="M10" s="29">
        <f>K10*L10</f>
        <v>11715</v>
      </c>
      <c r="N10" s="20">
        <f t="shared" si="2"/>
        <v>16270.833333333334</v>
      </c>
    </row>
    <row r="11" spans="2:19" ht="14.25" customHeight="1" x14ac:dyDescent="0.3">
      <c r="B11" s="30" t="s">
        <v>45</v>
      </c>
      <c r="C11" s="11"/>
      <c r="D11" s="11"/>
      <c r="E11" s="11"/>
      <c r="F11" s="11">
        <f>E8/50</f>
        <v>0</v>
      </c>
      <c r="N11" s="20">
        <f t="shared" si="2"/>
        <v>0</v>
      </c>
      <c r="Q11" t="s">
        <v>56</v>
      </c>
      <c r="R11" s="35" t="s">
        <v>57</v>
      </c>
    </row>
    <row r="12" spans="2:19" ht="16.5" x14ac:dyDescent="0.3">
      <c r="I12" s="30" t="s">
        <v>46</v>
      </c>
      <c r="J12" s="11"/>
      <c r="K12" s="11"/>
      <c r="L12" s="11"/>
      <c r="M12" s="11">
        <f>SUM(M4:M8)/(K10*50)</f>
        <v>0.16399758133333334</v>
      </c>
      <c r="N12" s="20">
        <f t="shared" si="2"/>
        <v>0.22777441851851854</v>
      </c>
      <c r="P12" t="s">
        <v>58</v>
      </c>
      <c r="Q12" s="31">
        <f>R12/S7</f>
        <v>1.4550521173212931</v>
      </c>
      <c r="R12" s="31">
        <f>33/50</f>
        <v>0.66</v>
      </c>
    </row>
    <row r="13" spans="2:19" ht="16.5" x14ac:dyDescent="0.3">
      <c r="I13" s="30" t="s">
        <v>61</v>
      </c>
      <c r="J13" s="11"/>
      <c r="K13" s="11"/>
      <c r="L13" s="11"/>
      <c r="M13" s="11">
        <f>L10/50</f>
        <v>0.31240000000000001</v>
      </c>
      <c r="N13" s="20">
        <f t="shared" si="2"/>
        <v>0.43388888888888894</v>
      </c>
      <c r="P13" t="s">
        <v>59</v>
      </c>
      <c r="Q13" s="31">
        <f>R13/S7</f>
        <v>1.2345896753029155</v>
      </c>
      <c r="R13" s="31">
        <f>28/50</f>
        <v>0.56000000000000005</v>
      </c>
    </row>
    <row r="15" spans="2:19" x14ac:dyDescent="0.25">
      <c r="E15" s="6">
        <f>957000</f>
        <v>957000</v>
      </c>
    </row>
    <row r="16" spans="2:19" x14ac:dyDescent="0.25">
      <c r="E16" s="6">
        <f>660000*50</f>
        <v>33000000</v>
      </c>
    </row>
    <row r="18" spans="2:7" ht="15.75" thickBot="1" x14ac:dyDescent="0.3">
      <c r="B18" s="44">
        <v>5</v>
      </c>
      <c r="E18">
        <f>E15/E16</f>
        <v>2.9000000000000001E-2</v>
      </c>
    </row>
    <row r="19" spans="2:7" ht="39" thickBot="1" x14ac:dyDescent="0.3">
      <c r="B19" s="41" t="s">
        <v>71</v>
      </c>
      <c r="C19" s="42" t="s">
        <v>72</v>
      </c>
      <c r="D19" s="42" t="s">
        <v>35</v>
      </c>
      <c r="E19" s="42" t="s">
        <v>73</v>
      </c>
      <c r="F19" s="42" t="s">
        <v>74</v>
      </c>
      <c r="G19" s="42" t="s">
        <v>75</v>
      </c>
    </row>
    <row r="20" spans="2:7" ht="15.75" thickBot="1" x14ac:dyDescent="0.3">
      <c r="B20" s="36" t="s">
        <v>63</v>
      </c>
      <c r="C20" s="36">
        <v>660000</v>
      </c>
      <c r="D20" s="36" t="s">
        <v>64</v>
      </c>
      <c r="E20" s="37">
        <v>0.25</v>
      </c>
      <c r="F20" s="37">
        <v>165000</v>
      </c>
      <c r="G20" s="37">
        <v>412.5</v>
      </c>
    </row>
    <row r="21" spans="2:7" ht="15.75" thickBot="1" x14ac:dyDescent="0.3">
      <c r="B21" s="38" t="s">
        <v>65</v>
      </c>
      <c r="C21" s="38">
        <v>660000</v>
      </c>
      <c r="D21" s="38" t="s">
        <v>64</v>
      </c>
      <c r="E21" s="39">
        <v>0.25</v>
      </c>
      <c r="F21" s="39">
        <v>165000</v>
      </c>
      <c r="G21" s="39">
        <v>412.5</v>
      </c>
    </row>
    <row r="22" spans="2:7" ht="15.75" thickBot="1" x14ac:dyDescent="0.3">
      <c r="B22" s="36" t="s">
        <v>66</v>
      </c>
      <c r="C22" s="36">
        <v>660000</v>
      </c>
      <c r="D22" s="36" t="s">
        <v>64</v>
      </c>
      <c r="E22" s="37">
        <v>0.15</v>
      </c>
      <c r="F22" s="37">
        <v>99000</v>
      </c>
      <c r="G22" s="37">
        <v>247.5</v>
      </c>
    </row>
    <row r="23" spans="2:7" ht="15.75" thickBot="1" x14ac:dyDescent="0.3">
      <c r="B23" s="38" t="s">
        <v>67</v>
      </c>
      <c r="C23" s="38">
        <v>99000</v>
      </c>
      <c r="D23" s="38" t="s">
        <v>64</v>
      </c>
      <c r="E23" s="39">
        <v>0.04</v>
      </c>
      <c r="F23" s="39">
        <v>3960</v>
      </c>
      <c r="G23" s="39">
        <v>9.9</v>
      </c>
    </row>
    <row r="24" spans="2:7" ht="15.75" thickBot="1" x14ac:dyDescent="0.3">
      <c r="B24" s="36" t="s">
        <v>68</v>
      </c>
      <c r="C24" s="36">
        <v>495000</v>
      </c>
      <c r="D24" s="36" t="s">
        <v>64</v>
      </c>
      <c r="E24" s="37">
        <v>2.1</v>
      </c>
      <c r="F24" s="37">
        <v>173250</v>
      </c>
      <c r="G24" s="37">
        <v>433.13</v>
      </c>
    </row>
    <row r="25" spans="2:7" ht="15.75" thickBot="1" x14ac:dyDescent="0.3">
      <c r="B25" s="38" t="s">
        <v>69</v>
      </c>
      <c r="C25" s="38">
        <v>660000</v>
      </c>
      <c r="D25" s="38" t="s">
        <v>64</v>
      </c>
      <c r="E25" s="39">
        <v>1.05</v>
      </c>
      <c r="F25" s="39">
        <v>693000</v>
      </c>
      <c r="G25" s="39">
        <v>1732.5</v>
      </c>
    </row>
    <row r="26" spans="2:7" x14ac:dyDescent="0.25">
      <c r="D26" s="47" t="s">
        <v>76</v>
      </c>
      <c r="E26" s="43">
        <f>SUM(E20:E25)</f>
        <v>3.84</v>
      </c>
      <c r="F26" s="43"/>
      <c r="G26" s="43"/>
    </row>
    <row r="27" spans="2:7" x14ac:dyDescent="0.25">
      <c r="F27" s="6"/>
      <c r="G27" s="43"/>
    </row>
    <row r="28" spans="2:7" x14ac:dyDescent="0.25">
      <c r="D28" t="s">
        <v>77</v>
      </c>
      <c r="E28" s="45">
        <f>E26/50</f>
        <v>7.6799999999999993E-2</v>
      </c>
      <c r="F28" s="43"/>
    </row>
  </sheetData>
  <mergeCells count="3">
    <mergeCell ref="I3:M3"/>
    <mergeCell ref="I2:M2"/>
    <mergeCell ref="B2:F2"/>
  </mergeCells>
  <hyperlinks>
    <hyperlink ref="P5" r:id="rId1" display="https://agrisk.umn.edu/Budgets?c=217&amp;by=2025" xr:uid="{E1827356-D291-44D8-BB50-EBD280E3BB50}"/>
    <hyperlink ref="P6" r:id="rId2" display="https://extension.oregonstate.edu/sites/extd8/files/documents/33601/onion-cost-production-dialogue.pdf" xr:uid="{52F84BB8-0498-4FB7-BD54-84268469F718}"/>
    <hyperlink ref="P7" r:id="rId3" display="https://dir.tridge.com/prices/fresh-carrot/CA?utm_source=chatgpt.com" xr:uid="{02FA56C2-F6B7-4F19-BE39-4746F5B58CD4}"/>
    <hyperlink ref="P8" r:id="rId4" display="https://www.a1cashandcarry.com/products/fresh-onion-cooking-50lb?srsltid=AfmBOoovH5EgubokXFiz15h8A7p9A8Jv0WWquppPMrFbhd26NlvLxECn&amp;utm_source=chatgpt.com" xr:uid="{871AE89C-8335-4C29-837E-10606D5A9B17}"/>
    <hyperlink ref="P9" r:id="rId5" display="https://extension.unr.edu/publication.aspx?PubID=2310" xr:uid="{B0AB566C-EA66-4290-AEF9-E8983DF4212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3F160-F24C-47DB-BD08-79C3D922EF31}">
  <dimension ref="C7:M8"/>
  <sheetViews>
    <sheetView workbookViewId="0">
      <selection activeCell="I29" sqref="I29"/>
    </sheetView>
  </sheetViews>
  <sheetFormatPr defaultRowHeight="15" x14ac:dyDescent="0.25"/>
  <cols>
    <col min="3" max="13" width="9.140625" style="10"/>
  </cols>
  <sheetData>
    <row r="7" spans="3:13" x14ac:dyDescent="0.25">
      <c r="C7" s="10">
        <v>0</v>
      </c>
      <c r="D7" s="10">
        <v>1</v>
      </c>
      <c r="E7" s="10">
        <v>2</v>
      </c>
      <c r="F7" s="10">
        <v>3</v>
      </c>
      <c r="G7" s="10">
        <v>4</v>
      </c>
      <c r="H7" s="10">
        <v>5</v>
      </c>
      <c r="I7" s="10">
        <v>6</v>
      </c>
      <c r="J7" s="10">
        <v>7</v>
      </c>
      <c r="K7" s="10">
        <v>8</v>
      </c>
      <c r="L7" s="10">
        <v>9</v>
      </c>
      <c r="M7" s="10">
        <v>10</v>
      </c>
    </row>
    <row r="8" spans="3:13" x14ac:dyDescent="0.25">
      <c r="C8" s="10">
        <f>-'3. Calculation sheet'!D2</f>
        <v>-400000</v>
      </c>
      <c r="D8" s="10">
        <f>'3. Calculation sheet'!D97</f>
        <v>183583</v>
      </c>
      <c r="E8" s="10">
        <f>D8</f>
        <v>183583</v>
      </c>
      <c r="F8" s="10">
        <f t="shared" ref="F8:M8" si="0">E8</f>
        <v>183583</v>
      </c>
      <c r="G8" s="10">
        <f t="shared" si="0"/>
        <v>183583</v>
      </c>
      <c r="H8" s="10">
        <f t="shared" si="0"/>
        <v>183583</v>
      </c>
      <c r="I8" s="10">
        <f t="shared" si="0"/>
        <v>183583</v>
      </c>
      <c r="J8" s="10">
        <f t="shared" si="0"/>
        <v>183583</v>
      </c>
      <c r="K8" s="10">
        <f t="shared" si="0"/>
        <v>183583</v>
      </c>
      <c r="L8" s="10">
        <f t="shared" si="0"/>
        <v>183583</v>
      </c>
      <c r="M8" s="10">
        <f t="shared" si="0"/>
        <v>183583</v>
      </c>
    </row>
  </sheetData>
  <pageMargins left="0.7" right="0.7" top="0.75" bottom="0.75" header="0.3" footer="0.3"/>
</worksheet>
</file>

<file path=docMetadata/LabelInfo.xml><?xml version="1.0" encoding="utf-8"?>
<clbl:labelList xmlns:clbl="http://schemas.microsoft.com/office/2020/mipLabelMetadata">
  <clbl:label id="{034a106e-6316-442c-ad35-738afd673d2b}" enabled="1" method="Standard" siteId="{cddc1229-ac2a-4b97-b78a-0e5cacb5865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 Introduction</vt:lpstr>
      <vt:lpstr>2. Sections explained</vt:lpstr>
      <vt:lpstr>3. Calculation sheet</vt:lpstr>
      <vt:lpstr>Sheet4</vt:lpstr>
      <vt:lpstr>Costing calcs</vt:lpstr>
      <vt:lpstr>NPV</vt:lpstr>
    </vt:vector>
  </TitlesOfParts>
  <Company>Government of Ontario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Cappa, Cesar (OMAFA)</dc:creator>
  <cp:lastModifiedBy>Cappa, Cesar (OMAFA)</cp:lastModifiedBy>
  <dcterms:created xsi:type="dcterms:W3CDTF">2025-09-04T14:10:29Z</dcterms:created>
  <dcterms:modified xsi:type="dcterms:W3CDTF">2026-03-30T13:52:35Z</dcterms:modified>
</cp:coreProperties>
</file>