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ntariogov-my.sharepoint.com/personal/jason_deveau_ontario_ca/Documents/Desktop/"/>
    </mc:Choice>
  </mc:AlternateContent>
  <xr:revisionPtr revIDLastSave="11" documentId="8_{61D0259E-4422-450D-8325-3DCC54804D17}" xr6:coauthVersionLast="47" xr6:coauthVersionMax="47" xr10:uidLastSave="{238749B4-49CB-48A1-996D-4A87360088F6}"/>
  <bookViews>
    <workbookView xWindow="-120" yWindow="-120" windowWidth="29040" windowHeight="15720" xr2:uid="{00000000-000D-0000-FFFF-FFFF00000000}"/>
  </bookViews>
  <sheets>
    <sheet name="Inputs" sheetId="1" r:id="rId1"/>
    <sheet name="Summary" sheetId="2" r:id="rId2"/>
    <sheet name="Help &amp; Assumptions" sheetId="3" r:id="rId3"/>
    <sheet name="Drops" sheetId="4" state="hidden" r:id="rId4"/>
  </sheets>
  <definedNames>
    <definedName name="_xlnm._FilterDatabase" localSheetId="0" hidden="1">Inputs!$B$7:$D$18</definedName>
    <definedName name="_xlnm.Print_Area" localSheetId="0">Inputs!$B$2:$H$49</definedName>
    <definedName name="_xlnm.Print_Area" localSheetId="1">Summary!$B$2:$L$26</definedName>
  </definedNames>
  <calcPr calcId="191029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8" i="2" l="1"/>
  <c r="F9" i="1"/>
  <c r="F27" i="1"/>
  <c r="F26" i="1"/>
  <c r="F14" i="1"/>
  <c r="G33" i="1"/>
  <c r="F37" i="1"/>
  <c r="F33" i="1"/>
  <c r="F62" i="1"/>
  <c r="B5" i="2" l="1"/>
  <c r="G40" i="1"/>
  <c r="F40" i="1"/>
  <c r="C48" i="1"/>
  <c r="C49" i="1"/>
  <c r="D49" i="1"/>
  <c r="C50" i="1"/>
  <c r="D50" i="1"/>
  <c r="C51" i="1"/>
  <c r="C52" i="1"/>
  <c r="F82" i="1"/>
  <c r="G41" i="1"/>
  <c r="C19" i="2"/>
  <c r="B11" i="2"/>
  <c r="B12" i="2"/>
  <c r="F43" i="1"/>
  <c r="F42" i="1"/>
  <c r="F32" i="1"/>
  <c r="G60" i="1"/>
  <c r="D26" i="1"/>
  <c r="F59" i="1"/>
  <c r="D25" i="1"/>
  <c r="G30" i="1"/>
  <c r="G27" i="1"/>
  <c r="G26" i="1"/>
  <c r="F25" i="1"/>
  <c r="F22" i="1"/>
  <c r="F21" i="1"/>
  <c r="D19" i="1"/>
  <c r="F19" i="1"/>
  <c r="F16" i="1"/>
  <c r="F15" i="1"/>
  <c r="D15" i="1"/>
  <c r="G14" i="1"/>
  <c r="G13" i="1"/>
  <c r="C40" i="1" s="1"/>
  <c r="C41" i="1" s="1"/>
  <c r="F13" i="1"/>
  <c r="D12" i="1"/>
  <c r="D11" i="1"/>
  <c r="D10" i="1"/>
  <c r="F8" i="1"/>
  <c r="D9" i="1"/>
  <c r="D8" i="1"/>
  <c r="D7" i="1"/>
  <c r="G28" i="1" l="1"/>
  <c r="G58" i="1" s="1"/>
  <c r="G31" i="1" s="1"/>
  <c r="G32" i="1" s="1"/>
  <c r="C33" i="1" s="1"/>
  <c r="G34" i="1"/>
  <c r="G42" i="1"/>
  <c r="G43" i="1"/>
  <c r="G21" i="1"/>
  <c r="G15" i="1"/>
  <c r="G20" i="1" s="1"/>
  <c r="G35" i="1" l="1"/>
  <c r="G61" i="1"/>
  <c r="C34" i="1" s="1"/>
  <c r="C23" i="2" s="1"/>
  <c r="G80" i="1"/>
  <c r="C43" i="1" s="1"/>
  <c r="G79" i="1"/>
  <c r="G81" i="1"/>
  <c r="G16" i="1"/>
  <c r="G19" i="1" s="1"/>
  <c r="C22" i="2"/>
  <c r="G59" i="1"/>
  <c r="G62" i="1" s="1"/>
  <c r="G29" i="1"/>
  <c r="C32" i="1"/>
  <c r="G22" i="1"/>
  <c r="C31" i="1" s="1"/>
  <c r="C35" i="1" l="1"/>
  <c r="C24" i="2" s="1"/>
  <c r="G10" i="1"/>
  <c r="C44" i="1"/>
  <c r="G25" i="1"/>
  <c r="G82" i="1"/>
  <c r="C20" i="2"/>
  <c r="C21" i="2"/>
  <c r="C25" i="2"/>
  <c r="G36" i="1" l="1"/>
  <c r="C36" i="1"/>
  <c r="G37" i="1" s="1"/>
  <c r="C45" i="1"/>
  <c r="C26" i="2"/>
  <c r="D23" i="2" l="1"/>
  <c r="G8" i="1"/>
  <c r="D25" i="2"/>
  <c r="D20" i="2"/>
  <c r="F6" i="1"/>
  <c r="B15" i="2" s="1"/>
  <c r="D22" i="2"/>
  <c r="D24" i="2"/>
  <c r="D31" i="1"/>
  <c r="D32" i="1"/>
  <c r="D33" i="1"/>
  <c r="D34" i="1"/>
  <c r="D35" i="1"/>
  <c r="B6" i="2"/>
  <c r="G83" i="1"/>
  <c r="C42" i="1"/>
  <c r="G9" i="1"/>
  <c r="B9" i="2" s="1"/>
  <c r="D21" i="2"/>
  <c r="D36" i="1" l="1"/>
  <c r="D2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Deveau, Jason (OMAFA)</author>
    <author>Microsoft Copilot</author>
  </authors>
  <commentList>
    <comment ref="C15" authorId="0" shapeId="0" xr:uid="{D01D745C-1EB2-49F3-9FEB-F9C199FEC674}">
      <text>
        <r>
          <rPr>
            <b/>
            <sz val="9"/>
            <color indexed="81"/>
            <rFont val="Tahoma"/>
            <charset val="1"/>
          </rPr>
          <t>Generally the distance from the Staging area to the centre of the field.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48" authorId="1" shapeId="0" xr:uid="{00000000-0006-0000-0000-00000F000000}">
      <text>
        <r>
          <rPr>
            <sz val="10"/>
            <rFont val="Arial"/>
            <family val="2"/>
          </rPr>
          <t>Adds a speed-change time adjustment to each straight interior spray pass.</t>
        </r>
      </text>
    </comment>
    <comment ref="C49" authorId="1" shapeId="0" xr:uid="{00000000-0006-0000-0000-000010000000}">
      <text>
        <r>
          <rPr>
            <sz val="10"/>
            <rFont val="Arial"/>
            <family val="2"/>
          </rPr>
          <t>Distance required by a fully loaded drone to reach 13 m/s (42.65 ft/s).</t>
        </r>
      </text>
    </comment>
    <comment ref="C50" authorId="1" shapeId="0" xr:uid="{00000000-0006-0000-0000-000011000000}">
      <text>
        <r>
          <rPr>
            <sz val="10"/>
            <rFont val="Arial"/>
            <family val="2"/>
          </rPr>
          <t>Distance required by a fully loaded drone to slow from 13 m/s (42.65 ft/s).</t>
        </r>
      </text>
    </comment>
    <comment ref="C51" authorId="1" shapeId="0" xr:uid="{00000000-0006-0000-0000-000012000000}">
      <text>
        <r>
          <rPr>
            <sz val="10"/>
            <rFont val="Arial"/>
            <family val="2"/>
          </rPr>
          <t>Proportion by which acceleration/deceleration distance declines as liquid payload is removed.</t>
        </r>
      </text>
    </comment>
    <comment ref="C52" authorId="1" shapeId="0" xr:uid="{00000000-0006-0000-0000-000013000000}">
      <text>
        <r>
          <rPr>
            <sz val="10"/>
            <rFont val="Arial"/>
            <family val="2"/>
          </rPr>
          <t>Average fraction of tank liquid carried during the operation. 50% is a practical default.</t>
        </r>
      </text>
    </comment>
  </commentList>
</comments>
</file>

<file path=xl/sharedStrings.xml><?xml version="1.0" encoding="utf-8"?>
<sst xmlns="http://schemas.openxmlformats.org/spreadsheetml/2006/main" count="162" uniqueCount="141">
  <si>
    <t>Unit system</t>
  </si>
  <si>
    <t>Metric</t>
  </si>
  <si>
    <t>Select Metric or Imperial</t>
  </si>
  <si>
    <t>Flight speed</t>
  </si>
  <si>
    <t>Field size</t>
  </si>
  <si>
    <t>Field length</t>
  </si>
  <si>
    <t>Swath width</t>
  </si>
  <si>
    <t>Application rate</t>
  </si>
  <si>
    <t>Additional water trips</t>
  </si>
  <si>
    <t>Drone tank capacity</t>
  </si>
  <si>
    <t>FIELD GEOMETRY</t>
  </si>
  <si>
    <t>180-degree turn time</t>
  </si>
  <si>
    <t>seconds</t>
  </si>
  <si>
    <t>Refill + battery swap time</t>
  </si>
  <si>
    <t>minutes/stop</t>
  </si>
  <si>
    <t>Average one-way ferry distance</t>
  </si>
  <si>
    <t>Number of headland passes</t>
  </si>
  <si>
    <t>passes</t>
  </si>
  <si>
    <t>Include initial trip to field?</t>
  </si>
  <si>
    <t>Yes</t>
  </si>
  <si>
    <t>Yes / No</t>
  </si>
  <si>
    <t>Include final return trip?</t>
  </si>
  <si>
    <t>Interior spray passes</t>
  </si>
  <si>
    <t>Tender water capacity</t>
  </si>
  <si>
    <t>Water-source round-trip time</t>
  </si>
  <si>
    <t>minutes/trip</t>
  </si>
  <si>
    <t>TIME BREAKDOWN</t>
  </si>
  <si>
    <t>Straight-line spraying</t>
  </si>
  <si>
    <t>OPERATIONAL DETAILS</t>
  </si>
  <si>
    <t>Turning</t>
  </si>
  <si>
    <t>Ferry travel</t>
  </si>
  <si>
    <t>Refill + battery swaps</t>
  </si>
  <si>
    <t>Water retrieval</t>
  </si>
  <si>
    <t>Tank loads required</t>
  </si>
  <si>
    <t>TOTAL</t>
  </si>
  <si>
    <t>Refill stops</t>
  </si>
  <si>
    <t>ACCELERATION &amp; DECELERATION INPUTS</t>
  </si>
  <si>
    <t>Interior 180° turns</t>
  </si>
  <si>
    <t>Include acceleration/deceleration?</t>
  </si>
  <si>
    <t>Headland 90° corners</t>
  </si>
  <si>
    <t>Full-load acceleration distance at 13 m/s</t>
  </si>
  <si>
    <t>Full-load deceleration distance at 13 m/s</t>
  </si>
  <si>
    <t>Initial/final one-way trips</t>
  </si>
  <si>
    <t>Payload-weight sensitivity</t>
  </si>
  <si>
    <t>%</t>
  </si>
  <si>
    <t>Refill ferry round trips</t>
  </si>
  <si>
    <t>Average tank fraction during spraying</t>
  </si>
  <si>
    <t>Total one-way ferry legs</t>
  </si>
  <si>
    <t>OPERATION STATUS</t>
  </si>
  <si>
    <t>Geometry</t>
  </si>
  <si>
    <t>Water supply</t>
  </si>
  <si>
    <t>Target speed</t>
  </si>
  <si>
    <t>Refill burden</t>
  </si>
  <si>
    <t>Main delay</t>
  </si>
  <si>
    <t>ACCELERATION MODEL OUTPUTS</t>
  </si>
  <si>
    <t>Average load adjustment factor</t>
  </si>
  <si>
    <t>Interior speed-change events</t>
  </si>
  <si>
    <t>Target speed reached on pass?</t>
  </si>
  <si>
    <t>Acceleration/deceleration time</t>
  </si>
  <si>
    <t>Share of total time</t>
  </si>
  <si>
    <t>MODEL ASSUMPTION: Acceleration and deceleration are applied to straight interior passes only. Headland corner behaviour remains represented by the editable turn-time input.</t>
  </si>
  <si>
    <t>PRODUCTIVITY BY ACTIVITY</t>
  </si>
  <si>
    <t>Activity</t>
  </si>
  <si>
    <t>Share of total</t>
  </si>
  <si>
    <t>Acceleration + deceleration</t>
  </si>
  <si>
    <t>TOTAL PRODUCTIVITY</t>
  </si>
  <si>
    <t>Purpose</t>
  </si>
  <si>
    <t>Estimates elapsed time to spray a rectangular agricultural field with a drone.</t>
  </si>
  <si>
    <t>Blue cells</t>
  </si>
  <si>
    <t>Change only blue input cells on the Calculator sheet.</t>
  </si>
  <si>
    <t>Headland passes</t>
  </si>
  <si>
    <t>A value of 1 sprays one swath around the perimeter before filling the interior. A value of 2 creates two nested perimeter passes.</t>
  </si>
  <si>
    <t>Headland geometry</t>
  </si>
  <si>
    <t>Each pass reduces both the remaining length and width by two swath widths. The flight path is measured along the centreline of each swath.</t>
  </si>
  <si>
    <t>Ferry distance</t>
  </si>
  <si>
    <t>Enter the average one-way distance between the drone refill location in the field and the filling area.</t>
  </si>
  <si>
    <t>Refills</t>
  </si>
  <si>
    <t>Tank loads are rounded up. Refill stops equal tank loads minus the initial full tank.</t>
  </si>
  <si>
    <t>Battery swaps</t>
  </si>
  <si>
    <t>A battery swap is assumed to happen during each refill, so no separate battery-swap delay is added.</t>
  </si>
  <si>
    <t>Turns</t>
  </si>
  <si>
    <t>Interior turns are 180 degrees. Headland corners are 90 degrees and use half the entered turn time.</t>
  </si>
  <si>
    <t>Limitations</t>
  </si>
  <si>
    <t>The model does not account for acceleration, wind, obstacles, regulatory delays, mixing time, partial-load strategy, or variable ferry speed.</t>
  </si>
  <si>
    <t>Protection</t>
  </si>
  <si>
    <t>Formula cells are protected to prevent accidental edits. Input cells remain editable.</t>
  </si>
  <si>
    <t>The amount of usable water initially available at the field. The model compares this capacity with total spray volume.</t>
  </si>
  <si>
    <t>Water retrieval trips</t>
  </si>
  <si>
    <t>Water-source round trip</t>
  </si>
  <si>
    <t>Enter the complete elapsed time to drive to the water source, obtain water, and return. This time affects productivity only when water retrievals are set to halt operations.</t>
  </si>
  <si>
    <t>Choose Metric or Imperial from the Calculator sheet. All dimensional input labels, output units, and formulas switch together.</t>
  </si>
  <si>
    <t>Imperial conventions</t>
  </si>
  <si>
    <t>Imperial mode uses feet, feet per second, acres, U.S. gallons, and U.S. gallons per acre.</t>
  </si>
  <si>
    <t>Switching systems</t>
  </si>
  <si>
    <t>When changing the unit system, replace the blue input values with values expressed in the newly displayed units. Existing numbers are not automatically reinterpreted as converted entries.</t>
  </si>
  <si>
    <t>Acceleration model</t>
  </si>
  <si>
    <t>Uses constant-acceleration kinematics. Baseline full-load distances are scaled by the square of selected speed relative to 13 m/s.</t>
  </si>
  <si>
    <t>Payload adjustment</t>
  </si>
  <si>
    <t>Acceleration and deceleration distances are reduced according to the user-entered payload-weight sensitivity and average tank fraction.</t>
  </si>
  <si>
    <t>Short passes</t>
  </si>
  <si>
    <t>If an interior pass is too short to reach target speed, the model estimates an attainable peak speed and removes the cruise phase.</t>
  </si>
  <si>
    <t>Headlands</t>
  </si>
  <si>
    <t>The acceleration adjustment applies to straight interior passes only. Headland corner effects remain in the turn-time estimate.</t>
  </si>
  <si>
    <t>Interpretation</t>
  </si>
  <si>
    <t>This is an approximation for planning. Actual performance depends on aircraft settings, payload, wind, flight controller limits, and route design.</t>
  </si>
  <si>
    <t>Note 1</t>
  </si>
  <si>
    <t>Field is rectangular; interior passes run parallel to the entered field length.</t>
  </si>
  <si>
    <t>Note 2</t>
  </si>
  <si>
    <t>No swath overlap is included. Interior pass count is rounded up to ensure coverage.</t>
  </si>
  <si>
    <t>Note 3</t>
  </si>
  <si>
    <t>Headland distance follows each swath centreline; each headland shrinks both field dimensions by two swaths.</t>
  </si>
  <si>
    <t>Note 4</t>
  </si>
  <si>
    <t>Turning time uses the editable 180° value; each 90° headland corner is assigned half that time.</t>
  </si>
  <si>
    <t>Note 5</t>
  </si>
  <si>
    <t>Each refill includes a battery swap. Ferry distance uses the entered average one-way distance.</t>
  </si>
  <si>
    <t>Note 6</t>
  </si>
  <si>
    <t>Additional water trips equal supply loads required minus the initial tender load. Spraying pauses during those trips only when “Do water retrievals halt operations?” is set to Yes.</t>
  </si>
  <si>
    <t>Note 7</t>
  </si>
  <si>
    <t>Productivity is total elapsed operation time divided by field size and includes spraying, turning, ferrying, refills, battery swaps, and water retrieval only when retrieval halts operations.</t>
  </si>
  <si>
    <t>Note 8</t>
  </si>
  <si>
    <t>Unit system changes inputs and outputs together. Imperial liquid units use U.S. gallons, and application rate is shown as US gal/ac.</t>
  </si>
  <si>
    <t>Full-load acceleration distance:</t>
  </si>
  <si>
    <t>Full-load deceleration distance:</t>
  </si>
  <si>
    <t>Average tank fraction during spraying:</t>
  </si>
  <si>
    <t>OPERATIONAL INPUTS</t>
  </si>
  <si>
    <t>DRONE ACCELERATION &amp; DECELERATION INPUTS</t>
  </si>
  <si>
    <t>Results update automatically from the Inputs sheet.</t>
  </si>
  <si>
    <t>HELP &amp; ASSUMPTIONS</t>
  </si>
  <si>
    <t>Operational Input status</t>
  </si>
  <si>
    <t>Water supply loads required</t>
  </si>
  <si>
    <t>Water retrieval delay</t>
  </si>
  <si>
    <t>Do water retrievals halt operations?</t>
  </si>
  <si>
    <t>Response</t>
  </si>
  <si>
    <t>No</t>
  </si>
  <si>
    <t>Water supply loads are rounded up. Additional trips equal loads required minus the initial tender load.</t>
  </si>
  <si>
    <t>TOTAL JOB TIME</t>
  </si>
  <si>
    <t>PRODUCTIVITY SUMMARY</t>
  </si>
  <si>
    <r>
      <t xml:space="preserve">Enter values in </t>
    </r>
    <r>
      <rPr>
        <b/>
        <i/>
        <sz val="11"/>
        <color theme="3"/>
        <rFont val="Cambria"/>
        <family val="1"/>
      </rPr>
      <t>BLUE</t>
    </r>
    <r>
      <rPr>
        <i/>
        <sz val="11"/>
        <color rgb="FF5B6573"/>
        <rFont val="Cambria"/>
        <family val="1"/>
      </rPr>
      <t xml:space="preserve"> cells. Results update automatically and a summary is found under the "Summary" tab.</t>
    </r>
  </si>
  <si>
    <t>OPERATION RESULTS</t>
  </si>
  <si>
    <t>Review these status messages before viewing the Summary tab.</t>
  </si>
  <si>
    <r>
      <t xml:space="preserve">DRONE PRODUCTIVITY CALCULATOR </t>
    </r>
    <r>
      <rPr>
        <b/>
        <sz val="10"/>
        <color theme="0" tint="-0.249977111117893"/>
        <rFont val="Aptos Display"/>
        <family val="2"/>
      </rPr>
      <t>v1.2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</si>
</sst>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164" formatCode="0.0"/>
    <numFmt numFmtId="165" formatCode="#,##0.0&quot; m&quot;"/>
    <numFmt numFmtId="166" formatCode="0.00&quot; ha&quot;"/>
    <numFmt numFmtId="167" formatCode="0&quot; passes&quot;"/>
    <numFmt numFmtId="168" formatCode="#,##0&quot; m&quot;"/>
    <numFmt numFmtId="169" formatCode="0.00&quot; hours&quot;"/>
    <numFmt numFmtId="170" formatCode="0.0%"/>
    <numFmt numFmtId="171" formatCode="#,##0.0&quot; L&quot;"/>
    <numFmt numFmtId="172" formatCode="0&quot; loads&quot;"/>
    <numFmt numFmtId="173" formatCode="0&quot; stops&quot;"/>
    <numFmt numFmtId="174" formatCode="0&quot; turns&quot;"/>
    <numFmt numFmtId="175" formatCode="0&quot; corners&quot;"/>
    <numFmt numFmtId="176" formatCode="0&quot; trips&quot;"/>
    <numFmt numFmtId="177" formatCode="0&quot; round trips&quot;"/>
    <numFmt numFmtId="178" formatCode="0&quot; legs&quot;"/>
    <numFmt numFmtId="179" formatCode="0.000"/>
    <numFmt numFmtId="180" formatCode="0.000&quot; hours&quot;"/>
    <numFmt numFmtId="181" formatCode="0.000&quot; h/area&quot;"/>
    <numFmt numFmtId="182" formatCode="#,##0.0"/>
  </numFmts>
  <fonts count="29" x14ac:knownFonts="1">
    <font>
      <sz val="11"/>
      <color theme="1"/>
      <name val="Calibri"/>
      <family val="2"/>
      <charset val="1"/>
    </font>
    <font>
      <i/>
      <sz val="11"/>
      <color rgb="FF5B6573"/>
      <name val="Cambria"/>
      <family val="1"/>
    </font>
    <font>
      <b/>
      <sz val="11"/>
      <color rgb="FF17365D"/>
      <name val="Cambria"/>
      <family val="1"/>
    </font>
    <font>
      <b/>
      <sz val="11"/>
      <color rgb="FFFFFFFF"/>
      <name val="Cambria"/>
      <family val="1"/>
    </font>
    <font>
      <sz val="11"/>
      <color rgb="FF333333"/>
      <name val="Cambria"/>
      <family val="1"/>
    </font>
    <font>
      <b/>
      <sz val="11"/>
      <color rgb="FF0000FF"/>
      <name val="Cambria"/>
      <family val="1"/>
    </font>
    <font>
      <i/>
      <sz val="11"/>
      <color rgb="FF666666"/>
      <name val="Cambria"/>
      <family val="1"/>
    </font>
    <font>
      <b/>
      <sz val="22"/>
      <color rgb="FF17365D"/>
      <name val="Cambria"/>
      <family val="1"/>
    </font>
    <font>
      <sz val="11"/>
      <color rgb="FF000000"/>
      <name val="Cambria"/>
      <family val="1"/>
    </font>
    <font>
      <b/>
      <sz val="11"/>
      <name val="Cambria"/>
      <family val="1"/>
    </font>
    <font>
      <b/>
      <sz val="12"/>
      <color rgb="FF000000"/>
      <name val="Cambria"/>
      <family val="1"/>
    </font>
    <font>
      <sz val="11"/>
      <color rgb="FF000000"/>
      <name val="Aptos"/>
      <family val="2"/>
    </font>
    <font>
      <i/>
      <sz val="11"/>
      <color rgb="FF7F6000"/>
      <name val="Cambria"/>
      <family val="1"/>
    </font>
    <font>
      <sz val="10"/>
      <name val="Arial"/>
      <family val="2"/>
    </font>
    <font>
      <b/>
      <sz val="18"/>
      <color rgb="FFFFFFFF"/>
      <name val="Cambria"/>
      <family val="1"/>
    </font>
    <font>
      <b/>
      <sz val="18"/>
      <color rgb="FF17365D"/>
      <name val="Cambria"/>
      <family val="1"/>
    </font>
    <font>
      <b/>
      <i/>
      <sz val="11"/>
      <color rgb="FFFFFFFF"/>
      <name val="Cambria"/>
      <family val="1"/>
    </font>
    <font>
      <b/>
      <sz val="11"/>
      <color rgb="FF000000"/>
      <name val="Aptos"/>
      <family val="2"/>
    </font>
    <font>
      <sz val="11"/>
      <color rgb="FF17365D"/>
      <name val="Cambria"/>
      <family val="1"/>
    </font>
    <font>
      <b/>
      <i/>
      <sz val="11"/>
      <color theme="3"/>
      <name val="Cambria"/>
      <family val="1"/>
    </font>
    <font>
      <sz val="11"/>
      <color rgb="FF000000"/>
      <name val="Cambria"/>
      <charset val="1"/>
    </font>
    <font>
      <b/>
      <sz val="20"/>
      <color theme="0" tint="-0.249977111117893"/>
      <name val="Aptos Display"/>
      <family val="2"/>
    </font>
    <font>
      <b/>
      <sz val="10"/>
      <color theme="0" tint="-0.249977111117893"/>
      <name val="Aptos Display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0"/>
      <name val="Cambria"/>
      <family val="1"/>
    </font>
    <font>
      <b/>
      <sz val="11"/>
      <color rgb="FFE2F0D9"/>
      <name val="Cambria"/>
      <family val="1"/>
    </font>
    <font>
      <sz val="11"/>
      <color theme="0"/>
      <name val="Calibri"/>
      <family val="2"/>
      <charset val="1"/>
    </font>
    <font>
      <b/>
      <sz val="11"/>
      <color rgb="FFDDEBF7"/>
      <name val="Cambria"/>
      <family val="1"/>
    </font>
  </fonts>
  <fills count="15">
    <fill>
      <patternFill patternType="none"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E4DFEC"/>
        <bgColor rgb="FFD9D9D9"/>
      </patternFill>
    </fill>
    <fill>
      <patternFill patternType="solid">
        <fgColor rgb="FFD9EAF7"/>
        <bgColor rgb="FFDDEBF7"/>
      </patternFill>
    </fill>
    <fill>
      <patternFill patternType="solid">
        <fgColor rgb="FFE2F0D9"/>
        <bgColor rgb="FFDDEBF7"/>
      </patternFill>
    </fill>
    <fill>
      <patternFill patternType="solid">
        <fgColor rgb="FFDDEBF7"/>
        <bgColor rgb="FFD9EAF7"/>
      </patternFill>
    </fill>
    <fill>
      <patternFill patternType="solid">
        <fgColor rgb="FF0F6B78"/>
        <bgColor rgb="FF008080"/>
      </patternFill>
    </fill>
    <fill>
      <patternFill patternType="solid">
        <fgColor rgb="FFFCE4D6"/>
        <bgColor rgb="FFFFF2CC"/>
      </patternFill>
    </fill>
    <fill>
      <patternFill patternType="solid">
        <fgColor rgb="FFE2F0D9"/>
        <bgColor rgb="FFD9EAF7"/>
      </patternFill>
    </fill>
    <fill>
      <patternFill patternType="solid">
        <fgColor rgb="FFE2F0D9"/>
        <bgColor rgb="FFD9D9D9"/>
      </patternFill>
    </fill>
    <fill>
      <patternFill patternType="solid">
        <fgColor rgb="FFE2F0D9"/>
        <bgColor rgb="FFFFF2CC"/>
      </patternFill>
    </fill>
    <fill>
      <patternFill patternType="solid">
        <fgColor rgb="FFE2F0D9"/>
        <bgColor rgb="FFFCE4D6"/>
      </patternFill>
    </fill>
    <fill>
      <patternFill patternType="solid">
        <fgColor rgb="FFE2F0D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C9D3DD"/>
      </bottom>
      <diagonal/>
    </border>
    <border>
      <left/>
      <right/>
      <top style="medium">
        <color rgb="FF17365D"/>
      </top>
      <bottom/>
      <diagonal/>
    </border>
    <border>
      <left/>
      <right/>
      <top style="thin">
        <color rgb="FFC9D3DD"/>
      </top>
      <bottom style="thin">
        <color rgb="FFC9D3DD"/>
      </bottom>
      <diagonal/>
    </border>
    <border>
      <left/>
      <right/>
      <top style="thin">
        <color rgb="FFC9D3DD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Protection="1">
      <protection locked="0"/>
    </xf>
    <xf numFmtId="164" fontId="5" fillId="4" borderId="1" xfId="0" applyNumberFormat="1" applyFont="1" applyFill="1" applyBorder="1" applyAlignment="1" applyProtection="1">
      <alignment horizontal="right"/>
      <protection locked="0"/>
    </xf>
    <xf numFmtId="182" fontId="5" fillId="4" borderId="1" xfId="0" applyNumberFormat="1" applyFont="1" applyFill="1" applyBorder="1" applyAlignment="1" applyProtection="1">
      <alignment horizontal="right"/>
      <protection locked="0"/>
    </xf>
    <xf numFmtId="0" fontId="18" fillId="0" borderId="0" xfId="0" applyFont="1"/>
    <xf numFmtId="0" fontId="6" fillId="0" borderId="1" xfId="0" applyFont="1" applyBorder="1"/>
    <xf numFmtId="0" fontId="4" fillId="0" borderId="1" xfId="0" applyFont="1" applyBorder="1"/>
    <xf numFmtId="0" fontId="2" fillId="9" borderId="1" xfId="0" applyFont="1" applyFill="1" applyBorder="1"/>
    <xf numFmtId="0" fontId="2" fillId="9" borderId="1" xfId="0" applyFont="1" applyFill="1" applyBorder="1" applyAlignment="1">
      <alignment horizontal="left" vertical="center"/>
    </xf>
    <xf numFmtId="0" fontId="0" fillId="0" borderId="1" xfId="0" applyBorder="1"/>
    <xf numFmtId="168" fontId="8" fillId="0" borderId="1" xfId="0" applyNumberFormat="1" applyFont="1" applyBorder="1" applyAlignment="1">
      <alignment horizontal="right"/>
    </xf>
    <xf numFmtId="0" fontId="9" fillId="5" borderId="1" xfId="0" applyFont="1" applyFill="1" applyBorder="1"/>
    <xf numFmtId="9" fontId="9" fillId="5" borderId="1" xfId="0" applyNumberFormat="1" applyFont="1" applyFill="1" applyBorder="1"/>
    <xf numFmtId="0" fontId="11" fillId="0" borderId="0" xfId="0" applyFont="1"/>
    <xf numFmtId="0" fontId="2" fillId="0" borderId="1" xfId="0" applyFont="1" applyBorder="1" applyAlignment="1">
      <alignment horizontal="left" vertical="center"/>
    </xf>
    <xf numFmtId="1" fontId="11" fillId="0" borderId="0" xfId="0" applyNumberFormat="1" applyFont="1"/>
    <xf numFmtId="0" fontId="8" fillId="0" borderId="1" xfId="0" applyFont="1" applyBorder="1" applyAlignment="1">
      <alignment horizontal="right"/>
    </xf>
    <xf numFmtId="179" fontId="11" fillId="0" borderId="0" xfId="0" applyNumberFormat="1" applyFont="1"/>
    <xf numFmtId="164" fontId="8" fillId="0" borderId="1" xfId="0" applyNumberFormat="1" applyFont="1" applyBorder="1" applyAlignment="1">
      <alignment horizontal="right"/>
    </xf>
    <xf numFmtId="9" fontId="8" fillId="0" borderId="1" xfId="0" applyNumberFormat="1" applyFont="1" applyBorder="1" applyAlignment="1">
      <alignment horizontal="right"/>
    </xf>
    <xf numFmtId="2" fontId="11" fillId="0" borderId="0" xfId="0" applyNumberFormat="1" applyFont="1"/>
    <xf numFmtId="0" fontId="12" fillId="8" borderId="0" xfId="0" applyFont="1" applyFill="1" applyAlignment="1">
      <alignment wrapText="1"/>
    </xf>
    <xf numFmtId="0" fontId="2" fillId="6" borderId="0" xfId="0" applyFont="1" applyFill="1" applyAlignment="1">
      <alignment horizontal="center"/>
    </xf>
    <xf numFmtId="0" fontId="2" fillId="5" borderId="2" xfId="0" applyFont="1" applyFill="1" applyBorder="1"/>
    <xf numFmtId="9" fontId="2" fillId="5" borderId="2" xfId="0" applyNumberFormat="1" applyFont="1" applyFill="1" applyBorder="1"/>
    <xf numFmtId="0" fontId="2" fillId="0" borderId="1" xfId="0" applyFont="1" applyBorder="1"/>
    <xf numFmtId="0" fontId="0" fillId="0" borderId="1" xfId="0" applyBorder="1" applyAlignment="1">
      <alignment vertical="top" wrapText="1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9" fontId="25" fillId="0" borderId="1" xfId="0" applyNumberFormat="1" applyFont="1" applyBorder="1"/>
    <xf numFmtId="169" fontId="26" fillId="5" borderId="1" xfId="0" applyNumberFormat="1" applyFont="1" applyFill="1" applyBorder="1"/>
    <xf numFmtId="2" fontId="27" fillId="0" borderId="1" xfId="0" applyNumberFormat="1" applyFont="1" applyBorder="1"/>
    <xf numFmtId="2" fontId="26" fillId="5" borderId="2" xfId="0" applyNumberFormat="1" applyFont="1" applyFill="1" applyBorder="1"/>
    <xf numFmtId="0" fontId="28" fillId="6" borderId="0" xfId="0" applyFont="1" applyFill="1" applyAlignment="1">
      <alignment horizontal="center"/>
    </xf>
    <xf numFmtId="0" fontId="0" fillId="14" borderId="1" xfId="0" applyFill="1" applyBorder="1"/>
    <xf numFmtId="166" fontId="8" fillId="14" borderId="1" xfId="0" applyNumberFormat="1" applyFont="1" applyFill="1" applyBorder="1" applyAlignment="1">
      <alignment horizontal="right"/>
    </xf>
    <xf numFmtId="170" fontId="0" fillId="13" borderId="1" xfId="0" applyNumberFormat="1" applyFill="1" applyBorder="1"/>
    <xf numFmtId="0" fontId="14" fillId="2" borderId="0" xfId="0" applyFont="1" applyFill="1"/>
    <xf numFmtId="0" fontId="21" fillId="2" borderId="0" xfId="0" applyFont="1" applyFill="1" applyAlignment="1">
      <alignment horizontal="left" vertical="center"/>
    </xf>
    <xf numFmtId="0" fontId="3" fillId="7" borderId="1" xfId="0" applyFont="1" applyFill="1" applyBorder="1" applyAlignment="1">
      <alignment vertical="center"/>
    </xf>
    <xf numFmtId="0" fontId="7" fillId="5" borderId="0" xfId="0" applyFont="1" applyFill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vertical="center"/>
    </xf>
    <xf numFmtId="164" fontId="2" fillId="9" borderId="3" xfId="0" applyNumberFormat="1" applyFont="1" applyFill="1" applyBorder="1" applyAlignment="1">
      <alignment horizontal="right"/>
    </xf>
    <xf numFmtId="1" fontId="2" fillId="9" borderId="3" xfId="0" applyNumberFormat="1" applyFont="1" applyFill="1" applyBorder="1" applyAlignment="1">
      <alignment horizontal="right"/>
    </xf>
    <xf numFmtId="165" fontId="8" fillId="14" borderId="1" xfId="0" applyNumberFormat="1" applyFont="1" applyFill="1" applyBorder="1" applyAlignment="1">
      <alignment horizontal="right"/>
    </xf>
    <xf numFmtId="166" fontId="8" fillId="14" borderId="1" xfId="0" applyNumberFormat="1" applyFont="1" applyFill="1" applyBorder="1" applyAlignment="1">
      <alignment horizontal="right"/>
    </xf>
    <xf numFmtId="168" fontId="8" fillId="14" borderId="1" xfId="0" applyNumberFormat="1" applyFont="1" applyFill="1" applyBorder="1" applyAlignment="1">
      <alignment horizontal="right"/>
    </xf>
    <xf numFmtId="171" fontId="8" fillId="14" borderId="1" xfId="0" applyNumberFormat="1" applyFont="1" applyFill="1" applyBorder="1" applyAlignment="1">
      <alignment horizontal="right"/>
    </xf>
    <xf numFmtId="174" fontId="8" fillId="14" borderId="1" xfId="0" applyNumberFormat="1" applyFont="1" applyFill="1" applyBorder="1" applyAlignment="1">
      <alignment horizontal="right"/>
    </xf>
    <xf numFmtId="167" fontId="8" fillId="14" borderId="1" xfId="0" applyNumberFormat="1" applyFont="1" applyFill="1" applyBorder="1" applyAlignment="1">
      <alignment horizontal="right"/>
    </xf>
    <xf numFmtId="170" fontId="0" fillId="14" borderId="1" xfId="0" applyNumberFormat="1" applyFill="1" applyBorder="1"/>
    <xf numFmtId="172" fontId="8" fillId="14" borderId="1" xfId="0" applyNumberFormat="1" applyFont="1" applyFill="1" applyBorder="1" applyAlignment="1">
      <alignment horizontal="right"/>
    </xf>
    <xf numFmtId="173" fontId="8" fillId="0" borderId="1" xfId="0" applyNumberFormat="1" applyFont="1" applyBorder="1" applyAlignment="1">
      <alignment horizontal="right"/>
    </xf>
    <xf numFmtId="178" fontId="8" fillId="14" borderId="1" xfId="0" applyNumberFormat="1" applyFont="1" applyFill="1" applyBorder="1" applyAlignment="1">
      <alignment horizontal="right"/>
    </xf>
    <xf numFmtId="175" fontId="8" fillId="14" borderId="1" xfId="0" applyNumberFormat="1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/>
    </xf>
    <xf numFmtId="171" fontId="20" fillId="14" borderId="1" xfId="0" applyNumberFormat="1" applyFont="1" applyFill="1" applyBorder="1" applyAlignment="1">
      <alignment horizontal="right"/>
    </xf>
    <xf numFmtId="172" fontId="20" fillId="14" borderId="1" xfId="0" applyNumberFormat="1" applyFont="1" applyFill="1" applyBorder="1" applyAlignment="1">
      <alignment horizontal="right"/>
    </xf>
    <xf numFmtId="176" fontId="20" fillId="14" borderId="1" xfId="0" applyNumberFormat="1" applyFont="1" applyFill="1" applyBorder="1" applyAlignment="1">
      <alignment horizontal="right"/>
    </xf>
    <xf numFmtId="169" fontId="20" fillId="14" borderId="1" xfId="0" applyNumberFormat="1" applyFont="1" applyFill="1" applyBorder="1" applyAlignment="1">
      <alignment horizontal="right"/>
    </xf>
    <xf numFmtId="179" fontId="20" fillId="14" borderId="1" xfId="0" applyNumberFormat="1" applyFont="1" applyFill="1" applyBorder="1" applyAlignment="1">
      <alignment horizontal="right"/>
    </xf>
    <xf numFmtId="0" fontId="16" fillId="7" borderId="1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164" fontId="0" fillId="14" borderId="1" xfId="0" applyNumberFormat="1" applyFill="1" applyBorder="1"/>
    <xf numFmtId="0" fontId="17" fillId="5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17" fillId="12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 vertical="center" wrapText="1"/>
    </xf>
    <xf numFmtId="170" fontId="0" fillId="0" borderId="3" xfId="0" applyNumberFormat="1" applyBorder="1"/>
    <xf numFmtId="1" fontId="0" fillId="0" borderId="1" xfId="0" applyNumberFormat="1" applyBorder="1"/>
    <xf numFmtId="0" fontId="0" fillId="0" borderId="3" xfId="0" applyBorder="1"/>
    <xf numFmtId="180" fontId="0" fillId="0" borderId="3" xfId="0" applyNumberFormat="1" applyBorder="1"/>
    <xf numFmtId="168" fontId="20" fillId="0" borderId="1" xfId="0" applyNumberFormat="1" applyFont="1" applyBorder="1" applyAlignment="1">
      <alignment horizontal="right"/>
    </xf>
    <xf numFmtId="181" fontId="0" fillId="0" borderId="3" xfId="0" applyNumberFormat="1" applyBorder="1"/>
    <xf numFmtId="177" fontId="8" fillId="0" borderId="1" xfId="0" applyNumberFormat="1" applyFont="1" applyBorder="1" applyAlignment="1">
      <alignment horizontal="right"/>
    </xf>
    <xf numFmtId="168" fontId="8" fillId="0" borderId="1" xfId="0" applyNumberFormat="1" applyFont="1" applyBorder="1" applyAlignment="1">
      <alignment horizontal="right"/>
    </xf>
    <xf numFmtId="176" fontId="8" fillId="0" borderId="1" xfId="0" applyNumberFormat="1" applyFont="1" applyBorder="1" applyAlignment="1">
      <alignment horizontal="right"/>
    </xf>
    <xf numFmtId="0" fontId="14" fillId="2" borderId="0" xfId="0" applyFont="1" applyFill="1" applyAlignment="1">
      <alignment vertical="center"/>
    </xf>
    <xf numFmtId="0" fontId="1" fillId="0" borderId="0" xfId="0" applyFont="1"/>
    <xf numFmtId="164" fontId="15" fillId="5" borderId="0" xfId="0" applyNumberFormat="1" applyFont="1" applyFill="1" applyAlignment="1">
      <alignment horizontal="center" vertical="center"/>
    </xf>
    <xf numFmtId="182" fontId="15" fillId="5" borderId="0" xfId="0" applyNumberFormat="1" applyFont="1" applyFill="1" applyAlignment="1">
      <alignment horizontal="center" vertical="center"/>
    </xf>
    <xf numFmtId="1" fontId="5" fillId="4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2">
    <dxf>
      <fill>
        <patternFill>
          <bgColor rgb="FFF4CCCC"/>
        </patternFill>
      </fill>
    </dxf>
    <dxf>
      <fill>
        <patternFill>
          <bgColor rgb="FFE2F0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F6000"/>
      <rgbColor rgb="FF800080"/>
      <rgbColor rgb="FF0F6B78"/>
      <rgbColor rgb="FFB3B3B3"/>
      <rgbColor rgb="FF666666"/>
      <rgbColor rgb="FF9999FF"/>
      <rgbColor rgb="FF7030A0"/>
      <rgbColor rgb="FFFFF2CC"/>
      <rgbColor rgb="FFD9EAF7"/>
      <rgbColor rgb="FF660066"/>
      <rgbColor rgb="FFFF8080"/>
      <rgbColor rgb="FF0066CC"/>
      <rgbColor rgb="FFC9D3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BF7"/>
      <rgbColor rgb="FFE2F0D9"/>
      <rgbColor rgb="FFFCE4D6"/>
      <rgbColor rgb="FFD9D9D9"/>
      <rgbColor rgb="FFF2F2F2"/>
      <rgbColor rgb="FFE4DFEC"/>
      <rgbColor rgb="FFF4CCCC"/>
      <rgbColor rgb="FF4F81BD"/>
      <rgbColor rgb="FF33CCCC"/>
      <rgbColor rgb="FF99CC00"/>
      <rgbColor rgb="FFFFCC00"/>
      <rgbColor rgb="FFFF9900"/>
      <rgbColor rgb="FFFF6600"/>
      <rgbColor rgb="FF5B6573"/>
      <rgbColor rgb="FF969696"/>
      <rgbColor rgb="FF17365D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2F0D9"/>
      <color rgb="FFDDEBF7"/>
      <color rgb="FF0F6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lang="en-CA" sz="1800" b="1" u="none" strike="noStrike">
                <a:solidFill>
                  <a:srgbClr val="000000"/>
                </a:solidFill>
                <a:uFillTx/>
                <a:latin typeface="Calibri"/>
              </a:rPr>
              <a:t>Productivity by Activity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Summary!$C$19</c:f>
              <c:strCache>
                <c:ptCount val="1"/>
                <c:pt idx="0">
                  <c:v>Min/ha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cat>
            <c:strRef>
              <c:f>Summary!$B$20:$B$25</c:f>
              <c:strCache>
                <c:ptCount val="6"/>
                <c:pt idx="0">
                  <c:v>Straight-line spraying</c:v>
                </c:pt>
                <c:pt idx="1">
                  <c:v>Turning</c:v>
                </c:pt>
                <c:pt idx="2">
                  <c:v>Ferry travel</c:v>
                </c:pt>
                <c:pt idx="3">
                  <c:v>Refill + battery swaps</c:v>
                </c:pt>
                <c:pt idx="4">
                  <c:v>Water retrieval</c:v>
                </c:pt>
                <c:pt idx="5">
                  <c:v>Acceleration + deceleration</c:v>
                </c:pt>
              </c:strCache>
            </c:strRef>
          </c:cat>
          <c:val>
            <c:numRef>
              <c:f>Summary!$C$20:$C$25</c:f>
              <c:numCache>
                <c:formatCode>0.00</c:formatCode>
                <c:ptCount val="6"/>
                <c:pt idx="0">
                  <c:v>1.8373931623931625</c:v>
                </c:pt>
                <c:pt idx="1">
                  <c:v>0.47555555555555556</c:v>
                </c:pt>
                <c:pt idx="2">
                  <c:v>0.29487179487179482</c:v>
                </c:pt>
                <c:pt idx="3">
                  <c:v>0.55000000000000004</c:v>
                </c:pt>
                <c:pt idx="4">
                  <c:v>0</c:v>
                </c:pt>
                <c:pt idx="5">
                  <c:v>0.47788461538461541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45-4E68-888E-7E9FB463FF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axId val="43607722"/>
        <c:axId val="55531446"/>
      </c:barChart>
      <c:catAx>
        <c:axId val="43607722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CA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Activity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5531446"/>
        <c:crosses val="autoZero"/>
        <c:auto val="1"/>
        <c:lblAlgn val="ctr"/>
        <c:lblOffset val="100"/>
        <c:noMultiLvlLbl val="0"/>
      </c:catAx>
      <c:valAx>
        <c:axId val="55531446"/>
        <c:scaling>
          <c:orientation val="minMax"/>
        </c:scaling>
        <c:delete val="0"/>
        <c:axPos val="b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strRef>
              <c:f>Summary!$C$19</c:f>
              <c:strCache>
                <c:ptCount val="1"/>
                <c:pt idx="0">
                  <c:v>Min/ha</c:v>
                </c:pt>
              </c:strCache>
            </c:strRef>
          </c:tx>
          <c:overlay val="0"/>
          <c:spPr>
            <a:noFill/>
            <a:ln w="0">
              <a:noFill/>
            </a:ln>
          </c:spPr>
          <c:txPr>
            <a:bodyPr rot="0"/>
            <a:lstStyle/>
            <a:p>
              <a:pPr>
                <a:defRPr sz="1300" b="0" u="none" strike="noStrike">
                  <a:uFillTx/>
                  <a:latin typeface="Arial"/>
                </a:defRPr>
              </a:pPr>
              <a:endParaRPr lang="en-US"/>
            </a:p>
          </c:txPr>
        </c:title>
        <c:numFmt formatCode="0.00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360772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549648</xdr:colOff>
      <xdr:row>1</xdr:row>
      <xdr:rowOff>75367</xdr:rowOff>
    </xdr:from>
    <xdr:to>
      <xdr:col>7</xdr:col>
      <xdr:colOff>1460386</xdr:colOff>
      <xdr:row>1</xdr:row>
      <xdr:rowOff>734121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A372D62-87FE-7359-FA9E-68EFBAAAF5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1383" y="265867"/>
          <a:ext cx="3779444" cy="6587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4</xdr:row>
      <xdr:rowOff>9525</xdr:rowOff>
    </xdr:from>
    <xdr:to>
      <xdr:col>11</xdr:col>
      <xdr:colOff>114300</xdr:colOff>
      <xdr:row>26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2:H84"/>
  <sheetViews>
    <sheetView showGridLines="0" tabSelected="1" zoomScale="85" zoomScaleNormal="85" workbookViewId="0">
      <pane ySplit="4" topLeftCell="A5" activePane="bottomLeft" state="frozen"/>
      <selection pane="bottomLeft" activeCell="C6" sqref="C6"/>
    </sheetView>
  </sheetViews>
  <sheetFormatPr defaultColWidth="8.7109375" defaultRowHeight="15" x14ac:dyDescent="0.25"/>
  <cols>
    <col min="1" max="1" width="3" customWidth="1"/>
    <col min="2" max="2" width="35.5703125" customWidth="1"/>
    <col min="3" max="3" width="14.85546875" customWidth="1"/>
    <col min="4" max="4" width="27" customWidth="1"/>
    <col min="5" max="5" width="3.42578125" customWidth="1"/>
    <col min="6" max="6" width="34.140625" customWidth="1"/>
    <col min="7" max="7" width="8.85546875" customWidth="1"/>
    <col min="8" max="8" width="23.28515625" customWidth="1"/>
    <col min="9" max="9" width="3" customWidth="1"/>
  </cols>
  <sheetData>
    <row r="2" spans="2:8" ht="61.5" customHeight="1" x14ac:dyDescent="0.25">
      <c r="B2" s="38" t="s">
        <v>140</v>
      </c>
      <c r="C2" s="38"/>
      <c r="D2" s="38"/>
      <c r="E2" s="38"/>
      <c r="F2" s="38"/>
      <c r="G2" s="38"/>
      <c r="H2" s="38"/>
    </row>
    <row r="3" spans="2:8" ht="15" customHeight="1" x14ac:dyDescent="0.25">
      <c r="B3" s="27" t="s">
        <v>137</v>
      </c>
      <c r="C3" s="27"/>
      <c r="D3" s="27"/>
      <c r="E3" s="28"/>
      <c r="F3" s="28"/>
      <c r="G3" s="28"/>
      <c r="H3" s="28"/>
    </row>
    <row r="4" spans="2:8" ht="15" customHeight="1" x14ac:dyDescent="0.25"/>
    <row r="5" spans="2:8" x14ac:dyDescent="0.25">
      <c r="B5" s="42" t="s">
        <v>124</v>
      </c>
      <c r="C5" s="42"/>
      <c r="D5" s="42"/>
      <c r="F5" s="39" t="s">
        <v>138</v>
      </c>
      <c r="G5" s="39"/>
      <c r="H5" s="39"/>
    </row>
    <row r="6" spans="2:8" x14ac:dyDescent="0.25">
      <c r="B6" s="4" t="s">
        <v>0</v>
      </c>
      <c r="C6" s="2" t="s">
        <v>1</v>
      </c>
      <c r="D6" s="5" t="s">
        <v>2</v>
      </c>
      <c r="F6" s="40" t="str">
        <f>IF($C$40&lt;&gt;"OK","CHECK INPUTS",TEXT(C36/24,"[h]"" h ""mm"" min"""))</f>
        <v>3 h 38 min</v>
      </c>
      <c r="G6" s="40"/>
      <c r="H6" s="40"/>
    </row>
    <row r="7" spans="2:8" x14ac:dyDescent="0.25">
      <c r="B7" s="6" t="s">
        <v>3</v>
      </c>
      <c r="C7" s="3">
        <v>13</v>
      </c>
      <c r="D7" s="5" t="str">
        <f>IF($C$6="Imperial","ft/s","m/s")</f>
        <v>m/s</v>
      </c>
      <c r="F7" s="40"/>
      <c r="G7" s="40"/>
      <c r="H7" s="40"/>
    </row>
    <row r="8" spans="2:8" ht="15" customHeight="1" x14ac:dyDescent="0.25">
      <c r="B8" s="6" t="s">
        <v>4</v>
      </c>
      <c r="C8" s="3">
        <v>60</v>
      </c>
      <c r="D8" s="5" t="str">
        <f>IF($C$6="Imperial","acres","ha")</f>
        <v>ha</v>
      </c>
      <c r="F8" s="7" t="str">
        <f>IF($C$6="Imperial","Productivity (min/acre)","Productivity (min/ha)")</f>
        <v>Productivity (min/ha)</v>
      </c>
      <c r="G8" s="41">
        <f>IFERROR(C36*60/C8,0)</f>
        <v>3.6357051282051285</v>
      </c>
      <c r="H8" s="41"/>
    </row>
    <row r="9" spans="2:8" ht="15" customHeight="1" x14ac:dyDescent="0.25">
      <c r="B9" s="6" t="s">
        <v>5</v>
      </c>
      <c r="C9" s="3">
        <v>400</v>
      </c>
      <c r="D9" s="5" t="str">
        <f>IF($C$6="Imperial","ft","m")</f>
        <v>m</v>
      </c>
      <c r="F9" s="7" t="str">
        <f>IF($C$6="Imperial","Effective acres/hour","Effective hectares/hour")</f>
        <v>Effective hectares/hour</v>
      </c>
      <c r="G9" s="43">
        <f>IFERROR(C8/C36,0)</f>
        <v>16.502988521959907</v>
      </c>
      <c r="H9" s="43"/>
    </row>
    <row r="10" spans="2:8" x14ac:dyDescent="0.25">
      <c r="B10" s="6" t="s">
        <v>6</v>
      </c>
      <c r="C10" s="3">
        <v>7</v>
      </c>
      <c r="D10" s="5" t="str">
        <f>IF($C$6="Imperial","ft","m")</f>
        <v>m</v>
      </c>
      <c r="F10" s="8" t="s">
        <v>8</v>
      </c>
      <c r="G10" s="44">
        <f>G35</f>
        <v>0</v>
      </c>
      <c r="H10" s="44"/>
    </row>
    <row r="11" spans="2:8" ht="15" customHeight="1" x14ac:dyDescent="0.25">
      <c r="B11" s="6" t="s">
        <v>7</v>
      </c>
      <c r="C11" s="3">
        <v>30</v>
      </c>
      <c r="D11" s="5" t="str">
        <f>IF($C$6="Imperial","gal/ac","L/ha")</f>
        <v>L/ha</v>
      </c>
    </row>
    <row r="12" spans="2:8" ht="15" customHeight="1" x14ac:dyDescent="0.25">
      <c r="B12" s="6" t="s">
        <v>9</v>
      </c>
      <c r="C12" s="3">
        <v>80</v>
      </c>
      <c r="D12" s="5" t="str">
        <f>IF($C$6="Imperial","US gal","L")</f>
        <v>L</v>
      </c>
      <c r="F12" s="39" t="s">
        <v>10</v>
      </c>
      <c r="G12" s="39"/>
      <c r="H12" s="39"/>
    </row>
    <row r="13" spans="2:8" ht="15" customHeight="1" x14ac:dyDescent="0.25">
      <c r="B13" s="6" t="s">
        <v>11</v>
      </c>
      <c r="C13" s="3">
        <v>8</v>
      </c>
      <c r="D13" s="5" t="s">
        <v>12</v>
      </c>
      <c r="F13" s="34" t="str">
        <f>IF($C$6="Imperial","Original field width (ft)","Original field width (m)")</f>
        <v>Original field width (m)</v>
      </c>
      <c r="G13" s="45">
        <f>IFERROR(IF($C$6="Imperial",C8*43560/C9,C8*10000/C9),0)</f>
        <v>1500</v>
      </c>
      <c r="H13" s="45"/>
    </row>
    <row r="14" spans="2:8" ht="15" customHeight="1" x14ac:dyDescent="0.25">
      <c r="B14" s="6" t="s">
        <v>13</v>
      </c>
      <c r="C14" s="3">
        <v>1.5</v>
      </c>
      <c r="D14" s="5" t="s">
        <v>14</v>
      </c>
      <c r="F14" s="34" t="str">
        <f>IF($C$6="Imperial","Interior length (ft)","Interior length (m)")</f>
        <v>Interior length (m)</v>
      </c>
      <c r="G14" s="45">
        <f>MAX(0,C9-2*C16*C10)</f>
        <v>386</v>
      </c>
      <c r="H14" s="45"/>
    </row>
    <row r="15" spans="2:8" ht="15" customHeight="1" x14ac:dyDescent="0.25">
      <c r="B15" s="6" t="s">
        <v>15</v>
      </c>
      <c r="C15" s="3">
        <v>300</v>
      </c>
      <c r="D15" s="5" t="str">
        <f>IF($C$6="Imperial","ft","m")</f>
        <v>m</v>
      </c>
      <c r="F15" s="34" t="str">
        <f>IF($C$6="Imperial","Interior width (ft)","Interior width (m)")</f>
        <v>Interior width (m)</v>
      </c>
      <c r="G15" s="45">
        <f>MAX(0,G13-2*C16*C10)</f>
        <v>1486</v>
      </c>
      <c r="H15" s="45"/>
    </row>
    <row r="16" spans="2:8" ht="15" customHeight="1" x14ac:dyDescent="0.25">
      <c r="B16" s="6" t="s">
        <v>16</v>
      </c>
      <c r="C16" s="3">
        <v>1</v>
      </c>
      <c r="D16" s="5" t="s">
        <v>17</v>
      </c>
      <c r="F16" s="34" t="str">
        <f>IF($C$6="Imperial","Interior area (acres)","Interior area (ha)")</f>
        <v>Interior area (ha)</v>
      </c>
      <c r="G16" s="46">
        <f>IF($C$6="Imperial",G14*G15/43560,G14*G15/10000)</f>
        <v>57.3596</v>
      </c>
      <c r="H16" s="46"/>
    </row>
    <row r="17" spans="2:8" ht="31.5" hidden="1" customHeight="1" x14ac:dyDescent="0.25">
      <c r="B17" s="6" t="s">
        <v>18</v>
      </c>
      <c r="C17" s="3" t="s">
        <v>19</v>
      </c>
      <c r="D17" s="5" t="s">
        <v>20</v>
      </c>
      <c r="F17" s="34"/>
      <c r="G17" s="35"/>
      <c r="H17" s="35"/>
    </row>
    <row r="18" spans="2:8" ht="31.5" hidden="1" customHeight="1" x14ac:dyDescent="0.25">
      <c r="B18" s="6" t="s">
        <v>21</v>
      </c>
      <c r="C18" s="3" t="s">
        <v>19</v>
      </c>
      <c r="D18" s="5" t="s">
        <v>20</v>
      </c>
      <c r="F18" s="34"/>
      <c r="G18" s="35"/>
      <c r="H18" s="35"/>
    </row>
    <row r="19" spans="2:8" ht="15" customHeight="1" x14ac:dyDescent="0.25">
      <c r="B19" s="6" t="s">
        <v>23</v>
      </c>
      <c r="C19" s="3">
        <v>3400</v>
      </c>
      <c r="D19" s="5" t="str">
        <f>IF($C$6="Imperial","US gal","L")</f>
        <v>L</v>
      </c>
      <c r="F19" s="34" t="str">
        <f>IF($C$6="Imperial","Headland area (acres)","Headland area (ha)")</f>
        <v>Headland area (ha)</v>
      </c>
      <c r="G19" s="46">
        <f>MAX(0,C8-G16)</f>
        <v>2.6403999999999996</v>
      </c>
      <c r="H19" s="46"/>
    </row>
    <row r="20" spans="2:8" ht="15" customHeight="1" x14ac:dyDescent="0.25">
      <c r="B20" s="6" t="s">
        <v>24</v>
      </c>
      <c r="C20" s="3">
        <v>40</v>
      </c>
      <c r="D20" s="5" t="s">
        <v>25</v>
      </c>
      <c r="F20" s="34" t="s">
        <v>22</v>
      </c>
      <c r="G20" s="50">
        <f>IF(OR(G14&lt;=0,G15&lt;=0),0,ROUNDUP(G15/C10,0))</f>
        <v>213</v>
      </c>
      <c r="H20" s="50"/>
    </row>
    <row r="21" spans="2:8" ht="15" customHeight="1" x14ac:dyDescent="0.25">
      <c r="B21" s="6" t="s">
        <v>131</v>
      </c>
      <c r="C21" s="3" t="s">
        <v>19</v>
      </c>
      <c r="D21" s="5" t="s">
        <v>20</v>
      </c>
      <c r="F21" s="34" t="str">
        <f>IF($C$6="Imperial","Headland distance (ft)","Headland distance (m)")</f>
        <v>Headland distance (m)</v>
      </c>
      <c r="G21" s="47">
        <f>MAX(0,2*C16*(C9+G13)-4*C10*C16^2)</f>
        <v>3772</v>
      </c>
      <c r="H21" s="47"/>
    </row>
    <row r="22" spans="2:8" ht="15" customHeight="1" x14ac:dyDescent="0.25">
      <c r="B22" s="6"/>
      <c r="C22" s="6"/>
      <c r="D22" s="5"/>
      <c r="F22" s="34" t="str">
        <f>IF($C$6="Imperial","Interior spray distance (ft)","Interior spray distance (m)")</f>
        <v>Interior spray distance (m)</v>
      </c>
      <c r="G22" s="47">
        <f>G20*G14</f>
        <v>82218</v>
      </c>
      <c r="H22" s="47"/>
    </row>
    <row r="23" spans="2:8" ht="15" customHeight="1" x14ac:dyDescent="0.25">
      <c r="B23" s="42" t="s">
        <v>125</v>
      </c>
      <c r="C23" s="42"/>
      <c r="D23" s="42"/>
      <c r="F23" s="9"/>
      <c r="G23" s="10"/>
      <c r="H23" s="10"/>
    </row>
    <row r="24" spans="2:8" ht="15" customHeight="1" x14ac:dyDescent="0.25">
      <c r="B24" s="9" t="s">
        <v>38</v>
      </c>
      <c r="C24" s="2" t="s">
        <v>19</v>
      </c>
      <c r="D24" s="5" t="s">
        <v>20</v>
      </c>
      <c r="F24" s="39" t="s">
        <v>28</v>
      </c>
      <c r="G24" s="39"/>
      <c r="H24" s="39"/>
    </row>
    <row r="25" spans="2:8" ht="15" customHeight="1" x14ac:dyDescent="0.25">
      <c r="B25" s="9" t="s">
        <v>121</v>
      </c>
      <c r="C25" s="2">
        <v>100</v>
      </c>
      <c r="D25" s="5" t="str">
        <f>IF($C$6="Imperial","ft","m")</f>
        <v>m</v>
      </c>
      <c r="F25" s="34" t="str">
        <f>IF($C$6="Imperial","Total flight distance (ft)","Total flight distance (m)")</f>
        <v>Total flight distance (m)</v>
      </c>
      <c r="G25" s="47">
        <f>G21+G22</f>
        <v>85990</v>
      </c>
      <c r="H25" s="47"/>
    </row>
    <row r="26" spans="2:8" ht="15" customHeight="1" x14ac:dyDescent="0.25">
      <c r="B26" s="9" t="s">
        <v>122</v>
      </c>
      <c r="C26" s="2">
        <v>40</v>
      </c>
      <c r="D26" s="5" t="str">
        <f>IF($C$6="Imperial","ft","m")</f>
        <v>m</v>
      </c>
      <c r="F26" s="34" t="str">
        <f>IF($C$6="Imperial","Total spray volume required (US gal)","Total spray volume required (L)")</f>
        <v>Total spray volume required (L)</v>
      </c>
      <c r="G26" s="48">
        <f>C8*C11</f>
        <v>1800</v>
      </c>
      <c r="H26" s="48"/>
    </row>
    <row r="27" spans="2:8" ht="15" customHeight="1" x14ac:dyDescent="0.25">
      <c r="B27" s="9" t="s">
        <v>43</v>
      </c>
      <c r="C27" s="84">
        <v>50</v>
      </c>
      <c r="D27" s="5" t="s">
        <v>44</v>
      </c>
      <c r="F27" s="34" t="str">
        <f>IF($C$6="Imperial","Area covered per tank (acres)","Area covered per tank (ha)")</f>
        <v>Area covered per tank (ha)</v>
      </c>
      <c r="G27" s="46">
        <f>IFERROR(C12/C11,0)</f>
        <v>2.6666666666666665</v>
      </c>
      <c r="H27" s="46"/>
    </row>
    <row r="28" spans="2:8" ht="15" customHeight="1" x14ac:dyDescent="0.25">
      <c r="B28" s="9" t="s">
        <v>123</v>
      </c>
      <c r="C28" s="84">
        <v>50</v>
      </c>
      <c r="D28" s="5" t="s">
        <v>44</v>
      </c>
      <c r="F28" s="34" t="s">
        <v>33</v>
      </c>
      <c r="G28" s="52">
        <f>IFERROR(ROUNDUP(G26/C12,0),0)</f>
        <v>23</v>
      </c>
      <c r="H28" s="52"/>
    </row>
    <row r="29" spans="2:8" ht="15" customHeight="1" x14ac:dyDescent="0.25">
      <c r="F29" s="34" t="s">
        <v>37</v>
      </c>
      <c r="G29" s="49">
        <f>MAX(G20-1,0)</f>
        <v>212</v>
      </c>
      <c r="H29" s="49"/>
    </row>
    <row r="30" spans="2:8" x14ac:dyDescent="0.25">
      <c r="B30" s="39" t="s">
        <v>26</v>
      </c>
      <c r="C30" s="39"/>
      <c r="D30" s="39"/>
      <c r="F30" s="34" t="s">
        <v>39</v>
      </c>
      <c r="G30" s="55">
        <f>4*C16</f>
        <v>4</v>
      </c>
      <c r="H30" s="55"/>
    </row>
    <row r="31" spans="2:8" x14ac:dyDescent="0.25">
      <c r="B31" s="9" t="s">
        <v>27</v>
      </c>
      <c r="C31" s="29">
        <f>IFERROR((G21+G22)/C7/3600,0)</f>
        <v>1.8373931623931625</v>
      </c>
      <c r="D31" s="36">
        <f>IF($C$36=0,0,C31/$C$36)</f>
        <v>0.50537463782169956</v>
      </c>
      <c r="F31" s="34" t="s">
        <v>47</v>
      </c>
      <c r="G31" s="54">
        <f>2*G58+G60</f>
        <v>46</v>
      </c>
      <c r="H31" s="54"/>
    </row>
    <row r="32" spans="2:8" x14ac:dyDescent="0.25">
      <c r="B32" s="9" t="s">
        <v>29</v>
      </c>
      <c r="C32" s="29">
        <f>IFERROR((MAX(G20-1,0)*C13+4*C16*C13/2)/3600,0)</f>
        <v>0.47555555555555556</v>
      </c>
      <c r="D32" s="36">
        <f>IF($C$36=0,0,C32/$C$36)</f>
        <v>0.13080146458146</v>
      </c>
      <c r="F32" s="34" t="str">
        <f>IF($C$6="Imperial","Total ferry distance (ft)","Total ferry distance (m)")</f>
        <v>Total ferry distance (m)</v>
      </c>
      <c r="G32" s="47">
        <f>G31*C15</f>
        <v>13800</v>
      </c>
      <c r="H32" s="47"/>
    </row>
    <row r="33" spans="2:8" x14ac:dyDescent="0.25">
      <c r="B33" s="9" t="s">
        <v>30</v>
      </c>
      <c r="C33" s="29">
        <f>IFERROR(G32/C7/3600,0)</f>
        <v>0.29487179487179482</v>
      </c>
      <c r="D33" s="36">
        <f>IF($C$36=0,0,C33/$C$36)</f>
        <v>8.1104430770315761E-2</v>
      </c>
      <c r="F33" s="34" t="str">
        <f>IF($G$4="Imperial","Tender capacity (US gal)","Tender water capacity (L)")</f>
        <v>Tender water capacity (L)</v>
      </c>
      <c r="G33" s="57">
        <f>C19</f>
        <v>3400</v>
      </c>
      <c r="H33" s="57"/>
    </row>
    <row r="34" spans="2:8" x14ac:dyDescent="0.25">
      <c r="B34" s="9" t="s">
        <v>31</v>
      </c>
      <c r="C34" s="29">
        <f>IFERROR(G61*C14/60,0)</f>
        <v>0.55000000000000004</v>
      </c>
      <c r="D34" s="36">
        <f>IF($C$36=0,0,C34/$C$36)</f>
        <v>0.15127739478463248</v>
      </c>
      <c r="F34" s="34" t="s">
        <v>129</v>
      </c>
      <c r="G34" s="58">
        <f>IFERROR(ROUNDUP(G26/C19,0),0)</f>
        <v>1</v>
      </c>
      <c r="H34" s="58"/>
    </row>
    <row r="35" spans="2:8" x14ac:dyDescent="0.25">
      <c r="B35" s="9" t="s">
        <v>32</v>
      </c>
      <c r="C35" s="29">
        <f>IF($C$21="Yes",IFERROR(G35*C20/60,0),0)</f>
        <v>0</v>
      </c>
      <c r="D35" s="36">
        <f>IF($C$36=0,0,C35/$C$36)</f>
        <v>0</v>
      </c>
      <c r="F35" s="34" t="s">
        <v>8</v>
      </c>
      <c r="G35" s="59">
        <f>MAX(G34-1,0)</f>
        <v>0</v>
      </c>
      <c r="H35" s="59"/>
    </row>
    <row r="36" spans="2:8" ht="15" customHeight="1" x14ac:dyDescent="0.25">
      <c r="B36" s="11" t="s">
        <v>34</v>
      </c>
      <c r="C36" s="30">
        <f>SUM(C31:C35)+G81</f>
        <v>3.6357051282051285</v>
      </c>
      <c r="D36" s="12">
        <f>SUM(D31:D35)</f>
        <v>0.86855792795810771</v>
      </c>
      <c r="E36" s="13"/>
      <c r="F36" s="34" t="s">
        <v>130</v>
      </c>
      <c r="G36" s="60">
        <f>C35</f>
        <v>0</v>
      </c>
      <c r="H36" s="60"/>
    </row>
    <row r="37" spans="2:8" ht="15" customHeight="1" x14ac:dyDescent="0.25">
      <c r="B37" s="9"/>
      <c r="C37" s="9"/>
      <c r="D37" s="9"/>
      <c r="E37" s="13"/>
      <c r="F37" s="34" t="str">
        <f>IF($G$4="Imperial","Productivity summary (h/acre)","Productivity summary (h/ha)")</f>
        <v>Productivity summary (h/ha)</v>
      </c>
      <c r="G37" s="61">
        <f>IFERROR(C36/C8,0)</f>
        <v>6.0595085470085477E-2</v>
      </c>
      <c r="H37" s="61"/>
    </row>
    <row r="38" spans="2:8" ht="15" customHeight="1" x14ac:dyDescent="0.25">
      <c r="B38" s="63" t="s">
        <v>48</v>
      </c>
      <c r="C38" s="63"/>
      <c r="D38" s="63"/>
      <c r="E38" s="13"/>
      <c r="F38" s="13"/>
      <c r="G38" s="15"/>
      <c r="H38" s="13"/>
    </row>
    <row r="39" spans="2:8" ht="15" customHeight="1" x14ac:dyDescent="0.25">
      <c r="B39" s="62" t="s">
        <v>139</v>
      </c>
      <c r="C39" s="62"/>
      <c r="D39" s="62"/>
      <c r="E39" s="13"/>
      <c r="F39" s="39" t="s">
        <v>54</v>
      </c>
      <c r="G39" s="39"/>
      <c r="H39" s="39"/>
    </row>
    <row r="40" spans="2:8" ht="15.75" x14ac:dyDescent="0.25">
      <c r="B40" s="14" t="s">
        <v>128</v>
      </c>
      <c r="C40" s="56" t="str">
        <f>IF(OR(C7&lt;=0,C8&lt;=0,C9&lt;=0,C10&lt;=0,C11&lt;=0,C12&lt;=0,C13&lt;0,C14&lt;0,C15&lt;0,C16&lt;0,C19&lt;=0,C20&lt;=0),"INVALID INPUT",IF(OR(C9-2*C16*C10&lt;0,G13-2*C16*C10&lt;0),"TOO MANY HEADLANDS","OK"))</f>
        <v>OK</v>
      </c>
      <c r="D40" s="56"/>
      <c r="E40" s="13"/>
      <c r="F40" s="34" t="str">
        <f>IF($C$6="Imperial","Speed (ft/s)","Speed (m/s)")</f>
        <v>Speed (m/s)</v>
      </c>
      <c r="G40" s="64">
        <f>C7</f>
        <v>13</v>
      </c>
      <c r="H40" s="64"/>
    </row>
    <row r="41" spans="2:8" x14ac:dyDescent="0.25">
      <c r="B41" s="14" t="s">
        <v>49</v>
      </c>
      <c r="C41" s="65" t="str">
        <f>IF(C40="OK","Field geometry inputs are usable",IF(C40="Too many headlands","Reduce # of headlands or swath width","Review invalid inputs"))</f>
        <v>Field geometry inputs are usable</v>
      </c>
      <c r="D41" s="65"/>
      <c r="E41" s="13"/>
      <c r="F41" s="34" t="s">
        <v>55</v>
      </c>
      <c r="G41" s="51">
        <f>1-(C27/100)*(1-C28/100)</f>
        <v>0.75</v>
      </c>
      <c r="H41" s="51"/>
    </row>
    <row r="42" spans="2:8" x14ac:dyDescent="0.25">
      <c r="B42" s="14" t="s">
        <v>52</v>
      </c>
      <c r="C42" s="69" t="str">
        <f>IF(C36=0,"No result",IF(C34/C36&gt;=0.25,"Refilling &gt;25% of operation time","Refilling &lt;25% of operation time"))</f>
        <v>Refilling &lt;25% of operation time</v>
      </c>
      <c r="D42" s="69"/>
      <c r="E42" s="13"/>
      <c r="F42" s="34" t="str">
        <f>IF($C$6="Imperial","Adjusted acceleration distance (ft)","Adjusted acceleration distance (m)")</f>
        <v>Adjusted acceleration distance (m)</v>
      </c>
      <c r="G42" s="64">
        <f>IF(C24="Yes",C25*(G40/13)^2*G41,0)</f>
        <v>75</v>
      </c>
      <c r="H42" s="64"/>
    </row>
    <row r="43" spans="2:8" x14ac:dyDescent="0.25">
      <c r="B43" s="14" t="s">
        <v>51</v>
      </c>
      <c r="C43" s="68" t="str">
        <f>IF(C24="No","Acceleration model is disabled",IF(G80="Yes","Target speed reached on interior passes","Passes too short to reach target speed"))</f>
        <v>Target speed reached on interior passes</v>
      </c>
      <c r="D43" s="68"/>
      <c r="E43" s="13"/>
      <c r="F43" s="34" t="str">
        <f>IF($C$6="Imperial","Adjusted deceleration distance (ft)","Adjusted deceleration distance (m)")</f>
        <v>Adjusted deceleration distance (m)</v>
      </c>
      <c r="G43" s="64">
        <f>IF(C24="Yes",C26*(G40/13)^2*G41,0)</f>
        <v>30</v>
      </c>
      <c r="H43" s="64"/>
    </row>
    <row r="44" spans="2:8" ht="33.75" customHeight="1" x14ac:dyDescent="0.25">
      <c r="B44" s="14" t="s">
        <v>50</v>
      </c>
      <c r="C44" s="67" t="str">
        <f>IF(G35=0,"Tender capacity is sufficient for the full field",IF($C$21="No",IF(G35=1,"One additional water trip is required; no productivity delay",G35&amp;" additional water trips are required; no productivity delay"),IF(G35=1,"One additional water trip is required; retrieval time included",G35&amp;" additional water trips are required; retrieval time included")))</f>
        <v>Tender capacity is sufficient for the full field</v>
      </c>
      <c r="D44" s="67"/>
      <c r="E44" s="13"/>
      <c r="F44" s="13"/>
      <c r="G44" s="15"/>
      <c r="H44" s="13"/>
    </row>
    <row r="45" spans="2:8" x14ac:dyDescent="0.25">
      <c r="B45" s="14" t="s">
        <v>53</v>
      </c>
      <c r="C45" s="70" t="str">
        <f>INDEX($B$31:$B$35,MATCH(MAX($C$31:$C$35),$C$31:$C$35,0))&amp;" is the largest base time category"</f>
        <v>Straight-line spraying is the largest base time category</v>
      </c>
      <c r="D45" s="70"/>
      <c r="E45" s="13"/>
      <c r="F45" s="13"/>
      <c r="G45" s="15"/>
      <c r="H45" s="13"/>
    </row>
    <row r="46" spans="2:8" hidden="1" x14ac:dyDescent="0.25">
      <c r="B46" s="13"/>
      <c r="C46" s="13"/>
      <c r="D46" s="13"/>
      <c r="E46" s="13"/>
      <c r="F46" s="13"/>
      <c r="G46" s="15"/>
      <c r="H46" s="13"/>
    </row>
    <row r="47" spans="2:8" hidden="1" x14ac:dyDescent="0.25">
      <c r="B47" s="66" t="s">
        <v>36</v>
      </c>
      <c r="C47" s="66"/>
      <c r="D47" s="66"/>
      <c r="E47" s="13"/>
      <c r="F47" s="13"/>
      <c r="G47" s="15"/>
      <c r="H47" s="13"/>
    </row>
    <row r="48" spans="2:8" hidden="1" x14ac:dyDescent="0.25">
      <c r="B48" s="9" t="s">
        <v>38</v>
      </c>
      <c r="C48" s="16" t="str">
        <f>C24</f>
        <v>Yes</v>
      </c>
      <c r="D48" s="9" t="s">
        <v>20</v>
      </c>
      <c r="E48" s="13"/>
      <c r="F48" s="13"/>
      <c r="G48" s="15"/>
      <c r="H48" s="13"/>
    </row>
    <row r="49" spans="2:8" hidden="1" x14ac:dyDescent="0.25">
      <c r="B49" s="9" t="s">
        <v>40</v>
      </c>
      <c r="C49" s="18">
        <f>C25</f>
        <v>100</v>
      </c>
      <c r="D49" s="9" t="str">
        <f>IF($C$6="Imperial","ft","m")</f>
        <v>m</v>
      </c>
      <c r="E49" s="13"/>
      <c r="F49" s="13"/>
      <c r="G49" s="15"/>
      <c r="H49" s="13"/>
    </row>
    <row r="50" spans="2:8" ht="41.25" hidden="1" customHeight="1" x14ac:dyDescent="0.25">
      <c r="B50" s="9" t="s">
        <v>41</v>
      </c>
      <c r="C50" s="18">
        <f>C26</f>
        <v>40</v>
      </c>
      <c r="D50" s="9" t="str">
        <f>IF($C$6="Imperial","ft","m")</f>
        <v>m</v>
      </c>
      <c r="E50" s="13"/>
      <c r="F50" s="13"/>
      <c r="G50" s="15"/>
      <c r="H50" s="13"/>
    </row>
    <row r="51" spans="2:8" ht="30.75" hidden="1" customHeight="1" x14ac:dyDescent="0.25">
      <c r="B51" s="9" t="s">
        <v>43</v>
      </c>
      <c r="C51" s="19">
        <f>C27</f>
        <v>50</v>
      </c>
      <c r="D51" s="9" t="s">
        <v>44</v>
      </c>
      <c r="E51" s="13"/>
      <c r="F51" s="13"/>
      <c r="G51" s="15"/>
      <c r="H51" s="13"/>
    </row>
    <row r="52" spans="2:8" ht="30.75" hidden="1" customHeight="1" x14ac:dyDescent="0.25">
      <c r="B52" s="9" t="s">
        <v>46</v>
      </c>
      <c r="C52" s="19">
        <f>C28</f>
        <v>50</v>
      </c>
      <c r="D52" s="9" t="s">
        <v>44</v>
      </c>
      <c r="E52" s="13"/>
      <c r="F52" s="13"/>
      <c r="G52" s="15"/>
      <c r="H52" s="13"/>
    </row>
    <row r="53" spans="2:8" ht="30.75" hidden="1" customHeight="1" x14ac:dyDescent="0.25">
      <c r="E53" s="13"/>
      <c r="F53" s="13"/>
      <c r="G53" s="15"/>
      <c r="H53" s="13"/>
    </row>
    <row r="54" spans="2:8" ht="30.75" hidden="1" customHeight="1" x14ac:dyDescent="0.25">
      <c r="E54" s="13"/>
      <c r="F54" s="13"/>
      <c r="G54" s="15"/>
      <c r="H54" s="13"/>
    </row>
    <row r="55" spans="2:8" ht="30.75" hidden="1" customHeight="1" x14ac:dyDescent="0.25">
      <c r="F55" s="13"/>
      <c r="G55" s="15"/>
      <c r="H55" s="13"/>
    </row>
    <row r="56" spans="2:8" ht="30.75" hidden="1" customHeight="1" x14ac:dyDescent="0.25">
      <c r="F56" s="13"/>
      <c r="G56" s="15"/>
      <c r="H56" s="13"/>
    </row>
    <row r="57" spans="2:8" ht="30.75" hidden="1" customHeight="1" x14ac:dyDescent="0.25">
      <c r="B57" s="21" t="s">
        <v>60</v>
      </c>
      <c r="C57" s="21"/>
      <c r="D57" s="21"/>
      <c r="F57" s="13"/>
      <c r="G57" s="15"/>
      <c r="H57" s="13"/>
    </row>
    <row r="58" spans="2:8" ht="30.75" hidden="1" customHeight="1" x14ac:dyDescent="0.25">
      <c r="F58" s="9" t="s">
        <v>35</v>
      </c>
      <c r="G58" s="53">
        <f>MAX(G28-1,0)</f>
        <v>22</v>
      </c>
      <c r="H58" s="53"/>
    </row>
    <row r="59" spans="2:8" ht="30.75" hidden="1" customHeight="1" x14ac:dyDescent="0.25">
      <c r="F59" s="9" t="str">
        <f>IF($C$6="Imperial","Estimated turning distance (ft)","Estimated turning distance (m)")</f>
        <v>Estimated turning distance (m)</v>
      </c>
      <c r="G59" s="78">
        <f>MAX(G20-1,0)*PI()*C10/2+4*C16*PI()*C10/4</f>
        <v>2353.0528975387551</v>
      </c>
      <c r="H59" s="78"/>
    </row>
    <row r="60" spans="2:8" ht="30.75" hidden="1" customHeight="1" x14ac:dyDescent="0.25">
      <c r="F60" s="9" t="s">
        <v>42</v>
      </c>
      <c r="G60" s="79">
        <f>IF(C17="Yes",1,0)+IF(C18="Yes",1,0)</f>
        <v>2</v>
      </c>
      <c r="H60" s="79"/>
    </row>
    <row r="61" spans="2:8" ht="30.75" hidden="1" customHeight="1" x14ac:dyDescent="0.25">
      <c r="F61" s="9" t="s">
        <v>45</v>
      </c>
      <c r="G61" s="77">
        <f>G58</f>
        <v>22</v>
      </c>
      <c r="H61" s="77"/>
    </row>
    <row r="62" spans="2:8" ht="30.75" hidden="1" customHeight="1" x14ac:dyDescent="0.25">
      <c r="F62" s="9" t="str">
        <f>IF($G$4="Imperial","Ferry + turn distance (ft)","Ferry + turn distance (m)")</f>
        <v>Ferry + turn distance (m)</v>
      </c>
      <c r="G62" s="75">
        <f>G32+G59</f>
        <v>16153.052897538755</v>
      </c>
      <c r="H62" s="75"/>
    </row>
    <row r="63" spans="2:8" ht="30.75" hidden="1" customHeight="1" x14ac:dyDescent="0.25">
      <c r="F63" s="13"/>
      <c r="G63" s="15"/>
      <c r="H63" s="13"/>
    </row>
    <row r="64" spans="2:8" ht="30.75" hidden="1" customHeight="1" x14ac:dyDescent="0.25">
      <c r="F64" s="13"/>
      <c r="G64" s="17"/>
      <c r="H64" s="13"/>
    </row>
    <row r="65" spans="5:8" ht="30.75" hidden="1" customHeight="1" x14ac:dyDescent="0.25">
      <c r="F65" s="13"/>
      <c r="G65" s="13"/>
      <c r="H65" s="13"/>
    </row>
    <row r="66" spans="5:8" ht="30.75" hidden="1" customHeight="1" x14ac:dyDescent="0.25">
      <c r="F66" s="13"/>
      <c r="G66" s="13"/>
      <c r="H66" s="13"/>
    </row>
    <row r="67" spans="5:8" ht="30.75" hidden="1" customHeight="1" x14ac:dyDescent="0.25">
      <c r="F67" s="13"/>
      <c r="G67" s="20"/>
      <c r="H67" s="13"/>
    </row>
    <row r="68" spans="5:8" ht="30.75" hidden="1" customHeight="1" x14ac:dyDescent="0.25">
      <c r="E68" s="21"/>
      <c r="F68" s="13"/>
      <c r="G68" s="20"/>
      <c r="H68" s="13"/>
    </row>
    <row r="69" spans="5:8" ht="30.75" hidden="1" customHeight="1" x14ac:dyDescent="0.25">
      <c r="F69" s="13"/>
      <c r="G69" s="15"/>
      <c r="H69" s="13"/>
    </row>
    <row r="70" spans="5:8" ht="30.75" hidden="1" customHeight="1" x14ac:dyDescent="0.25">
      <c r="F70" s="13"/>
      <c r="G70" s="15"/>
      <c r="H70" s="13"/>
    </row>
    <row r="71" spans="5:8" ht="30.75" hidden="1" customHeight="1" x14ac:dyDescent="0.25">
      <c r="F71" s="13"/>
      <c r="G71" s="15"/>
      <c r="H71" s="13"/>
    </row>
    <row r="72" spans="5:8" ht="30.75" hidden="1" customHeight="1" x14ac:dyDescent="0.25"/>
    <row r="73" spans="5:8" ht="30.75" hidden="1" customHeight="1" x14ac:dyDescent="0.25"/>
    <row r="74" spans="5:8" ht="30.75" hidden="1" customHeight="1" x14ac:dyDescent="0.25"/>
    <row r="75" spans="5:8" ht="30.75" hidden="1" customHeight="1" x14ac:dyDescent="0.25"/>
    <row r="76" spans="5:8" ht="30.75" hidden="1" customHeight="1" x14ac:dyDescent="0.25"/>
    <row r="77" spans="5:8" ht="30.75" hidden="1" customHeight="1" x14ac:dyDescent="0.25"/>
    <row r="78" spans="5:8" hidden="1" x14ac:dyDescent="0.25"/>
    <row r="79" spans="5:8" hidden="1" x14ac:dyDescent="0.25">
      <c r="F79" s="9" t="s">
        <v>56</v>
      </c>
      <c r="G79" s="72">
        <f>IF(C48="Yes",G20,0)</f>
        <v>213</v>
      </c>
      <c r="H79" s="72"/>
    </row>
    <row r="80" spans="5:8" hidden="1" x14ac:dyDescent="0.25">
      <c r="F80" s="9" t="s">
        <v>57</v>
      </c>
      <c r="G80" s="73" t="str">
        <f>IF(C48="No","Not applied",IF(G14&gt;=G42+G43,"Yes","No - short pass"))</f>
        <v>Yes</v>
      </c>
      <c r="H80" s="73"/>
    </row>
    <row r="81" spans="6:8" hidden="1" x14ac:dyDescent="0.25">
      <c r="F81" s="9" t="s">
        <v>58</v>
      </c>
      <c r="G81" s="74">
        <f>IF(C48="No",0,IF(OR(C7&lt;=0,G20&lt;=0,G14&lt;=0),0,IF(G14&gt;=G42+G43,G20*(G42+G43)/C7/3600,G20*((SQRT(2*G14*(C7^2/(2*G42))*(C7^2/(2*G43))/((C7^2/(2*G42))+(C7^2/(2*G43))))/(C7^2/(2*G42))+SQRT(2*G14*(C7^2/(2*G42))*(C7^2/(2*G43))/((C7^2/(2*G42))+(C7^2/(2*G43))))/(C7^2/(2*G43)))-G14/C7)/3600)))</f>
        <v>0.47788461538461541</v>
      </c>
      <c r="H81" s="74"/>
    </row>
    <row r="82" spans="6:8" hidden="1" x14ac:dyDescent="0.25">
      <c r="F82" s="9" t="str">
        <f>IF($C$6="Imperial","Productivity impact (h/acre)","Productivity impact (h/ha)")</f>
        <v>Productivity impact (h/ha)</v>
      </c>
      <c r="G82" s="76">
        <f>IFERROR(G81/C8,0)</f>
        <v>7.9647435897435906E-3</v>
      </c>
      <c r="H82" s="76"/>
    </row>
    <row r="83" spans="6:8" hidden="1" x14ac:dyDescent="0.25">
      <c r="F83" s="9" t="s">
        <v>59</v>
      </c>
      <c r="G83" s="71">
        <f>IFERROR(G81/C36,0)</f>
        <v>0.13144207204189221</v>
      </c>
      <c r="H83" s="71"/>
    </row>
    <row r="84" spans="6:8" hidden="1" x14ac:dyDescent="0.25">
      <c r="F84" s="21"/>
      <c r="G84" s="21"/>
      <c r="H84" s="21"/>
    </row>
  </sheetData>
  <sheetProtection algorithmName="SHA-512" hashValue="M/6tYg16rXlEwpvEtpn8w8HzheDG1dCv7ixFtoBqOzLvyL3Cv7feFjFvW5mabVxSedfWR4iJ9cg4hvpOwhfzzA==" saltValue="pvPNkQKVZ/afcPTvoq5NHg==" spinCount="100000" sheet="1" selectLockedCells="1"/>
  <mergeCells count="56">
    <mergeCell ref="G83:H83"/>
    <mergeCell ref="G42:H42"/>
    <mergeCell ref="G43:H43"/>
    <mergeCell ref="G79:H79"/>
    <mergeCell ref="G80:H80"/>
    <mergeCell ref="G81:H81"/>
    <mergeCell ref="G62:H62"/>
    <mergeCell ref="G82:H82"/>
    <mergeCell ref="G61:H61"/>
    <mergeCell ref="G59:H59"/>
    <mergeCell ref="G60:H60"/>
    <mergeCell ref="C41:D41"/>
    <mergeCell ref="B47:D47"/>
    <mergeCell ref="C44:D44"/>
    <mergeCell ref="C43:D43"/>
    <mergeCell ref="C42:D42"/>
    <mergeCell ref="C45:D45"/>
    <mergeCell ref="C40:D40"/>
    <mergeCell ref="G33:H33"/>
    <mergeCell ref="G34:H34"/>
    <mergeCell ref="G35:H35"/>
    <mergeCell ref="G36:H36"/>
    <mergeCell ref="G37:H37"/>
    <mergeCell ref="B39:D39"/>
    <mergeCell ref="B38:D38"/>
    <mergeCell ref="F39:H39"/>
    <mergeCell ref="G40:H40"/>
    <mergeCell ref="G41:H41"/>
    <mergeCell ref="G27:H27"/>
    <mergeCell ref="G28:H28"/>
    <mergeCell ref="G58:H58"/>
    <mergeCell ref="G31:H31"/>
    <mergeCell ref="G32:H32"/>
    <mergeCell ref="G30:H30"/>
    <mergeCell ref="G15:H15"/>
    <mergeCell ref="G16:H16"/>
    <mergeCell ref="G19:H19"/>
    <mergeCell ref="B30:D30"/>
    <mergeCell ref="F24:H24"/>
    <mergeCell ref="G25:H25"/>
    <mergeCell ref="G26:H26"/>
    <mergeCell ref="B23:D23"/>
    <mergeCell ref="G29:H29"/>
    <mergeCell ref="G22:H22"/>
    <mergeCell ref="G20:H20"/>
    <mergeCell ref="G21:H21"/>
    <mergeCell ref="G9:H9"/>
    <mergeCell ref="G10:H10"/>
    <mergeCell ref="F12:H12"/>
    <mergeCell ref="G13:H13"/>
    <mergeCell ref="G14:H14"/>
    <mergeCell ref="B2:H2"/>
    <mergeCell ref="F5:H5"/>
    <mergeCell ref="F6:H7"/>
    <mergeCell ref="G8:H8"/>
    <mergeCell ref="B5:D5"/>
  </mergeCells>
  <conditionalFormatting sqref="C40:D40">
    <cfRule type="expression" dxfId="1" priority="2">
      <formula>$C$40="OK"</formula>
    </cfRule>
    <cfRule type="expression" dxfId="0" priority="3">
      <formula>$C$40&lt;&gt;"OK"</formula>
    </cfRule>
  </conditionalFormatting>
  <dataValidations xWindow="287" yWindow="563" count="9">
    <dataValidation type="decimal" operator="greaterThan" showErrorMessage="1" errorTitle="Invalid input" error="Enter a number greater than zero." sqref="C7:C15 C40 C19:C20 C23 C25:C29" xr:uid="{00000000-0002-0000-0000-000000000000}">
      <formula1>0</formula1>
      <formula2>0</formula2>
    </dataValidation>
    <dataValidation type="whole" showErrorMessage="1" error="Enter a whole number from 0 to 100." sqref="C16" xr:uid="{00000000-0002-0000-0000-000001000000}">
      <formula1>0</formula1>
      <formula2>100</formula2>
    </dataValidation>
    <dataValidation type="list" sqref="C17:C18 C24 C48" xr:uid="{00000000-0002-0000-0000-000002000000}">
      <formula1>"Yes,No"</formula1>
      <formula2>0</formula2>
    </dataValidation>
    <dataValidation type="list" sqref="C6" xr:uid="{00000000-0002-0000-0000-000003000000}">
      <formula1>"Metric,Imperial"</formula1>
      <formula2>0</formula2>
    </dataValidation>
    <dataValidation type="decimal" operator="greaterThan" sqref="C25:C26 C49:C50" xr:uid="{00000000-0002-0000-0000-000004000000}">
      <formula1>0</formula1>
      <formula2>0</formula2>
    </dataValidation>
    <dataValidation type="decimal" sqref="C27:C28 C51:C52" xr:uid="{00000000-0002-0000-0000-000005000000}">
      <formula1>0</formula1>
      <formula2>1</formula2>
    </dataValidation>
    <dataValidation type="list" showErrorMessage="1" errorTitle="Invalid selection" error="Select Yes or No from the dropdown." promptTitle="Water retrieval" prompt="Choose whether water retrieval stops spraying." sqref="C21" xr:uid="{00000000-0002-0000-0000-000006000000}">
      <formula1>"Yes,No"</formula1>
    </dataValidation>
    <dataValidation showErrorMessage="1" errorTitle="Invalid selection" error="Select Yes or No from the dropdown." promptTitle="Water retrieval" prompt="Choose whether water retrieval stops spraying." sqref="C22" xr:uid="{E779D1A1-58EA-4611-9628-B5987B067C10}"/>
    <dataValidation operator="greaterThan" showErrorMessage="1" errorTitle="Invalid input" error="Enter a number greater than zero." sqref="C22" xr:uid="{8E5C0232-C8FF-4E94-918E-96691253A81C}"/>
  </dataValidations>
  <pageMargins left="0.25" right="0.25" top="0.4" bottom="0.4" header="0.511811023622047" footer="0.511811023622047"/>
  <pageSetup orientation="portrait" horizontalDpi="300" verticalDpi="300"/>
  <ignoredErrors>
    <ignoredError sqref="D7:D20 C31:D36 C40:D40 F33:H37 F13:H22 F6:H8 F25:H25 F10 H10 F28:H28 G26:H26 G27:H27 F29:H30 F31:H32 C45:D45 C44:D44 D41 G9:H9" unlockedFormula="1"/>
  </ignoredErrors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287" yWindow="563" count="1">
        <x14:dataValidation type="list" operator="greaterThan" showErrorMessage="1" errorTitle="Invalid input" error="Enter a number greater than zero." xr:uid="{3C8271E1-9F03-4C71-8929-EA4F66D0AF9A}">
          <x14:formula1>
            <xm:f>Drops!$A$2:$A$3</xm:f>
          </x14:formula1>
          <xm:sqref>C24 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L26"/>
  <sheetViews>
    <sheetView showGridLines="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D30" sqref="D30"/>
    </sheetView>
  </sheetViews>
  <sheetFormatPr defaultColWidth="8.7109375" defaultRowHeight="15" x14ac:dyDescent="0.25"/>
  <cols>
    <col min="1" max="1" width="3" customWidth="1"/>
    <col min="2" max="2" width="31" customWidth="1"/>
    <col min="3" max="3" width="11.5703125" customWidth="1"/>
    <col min="4" max="4" width="14.5703125" bestFit="1" customWidth="1"/>
    <col min="5" max="5" width="4" customWidth="1"/>
    <col min="6" max="10" width="18" customWidth="1"/>
    <col min="11" max="11" width="3.85546875" customWidth="1"/>
    <col min="12" max="12" width="1.85546875" customWidth="1"/>
  </cols>
  <sheetData>
    <row r="1" spans="2:12" ht="15" customHeight="1" x14ac:dyDescent="0.25"/>
    <row r="2" spans="2:12" ht="31.5" customHeight="1" x14ac:dyDescent="0.25">
      <c r="B2" s="80" t="s">
        <v>136</v>
      </c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2:12" ht="15" customHeight="1" x14ac:dyDescent="0.25">
      <c r="B3" s="81" t="s">
        <v>126</v>
      </c>
      <c r="C3" s="81"/>
      <c r="D3" s="81"/>
      <c r="E3" s="81"/>
      <c r="F3" s="81"/>
      <c r="G3" s="81"/>
      <c r="H3" s="81"/>
      <c r="I3" s="81"/>
      <c r="J3" s="81"/>
      <c r="K3" s="81"/>
      <c r="L3" s="81"/>
    </row>
    <row r="4" spans="2:12" ht="15" customHeight="1" x14ac:dyDescent="0.25"/>
    <row r="5" spans="2:12" ht="15" customHeight="1" x14ac:dyDescent="0.25">
      <c r="B5" s="66" t="str">
        <f>IF(Inputs!$C$6="Imperial","PRODUCTIVITY (min/acre)","PRODUCTIVITY (min/ha)")</f>
        <v>PRODUCTIVITY (min/ha)</v>
      </c>
      <c r="C5" s="66"/>
      <c r="D5" s="66"/>
    </row>
    <row r="6" spans="2:12" ht="15" customHeight="1" x14ac:dyDescent="0.25">
      <c r="B6" s="82">
        <f>IFERROR(Inputs!$C$36*60/Inputs!$C$8,0)</f>
        <v>3.6357051282051285</v>
      </c>
      <c r="C6" s="82"/>
      <c r="D6" s="82"/>
    </row>
    <row r="7" spans="2:12" ht="15" customHeight="1" x14ac:dyDescent="0.25">
      <c r="B7" s="82"/>
      <c r="C7" s="82"/>
      <c r="D7" s="82"/>
    </row>
    <row r="8" spans="2:12" ht="15" customHeight="1" x14ac:dyDescent="0.25">
      <c r="B8" s="66" t="str">
        <f>IF(Inputs!C6="Imperial","EFFECTIVE ACRES/HOUR","EFFECTIVE HECTARES/HOUR")</f>
        <v>EFFECTIVE HECTARES/HOUR</v>
      </c>
      <c r="C8" s="66"/>
      <c r="D8" s="66"/>
    </row>
    <row r="9" spans="2:12" ht="15" customHeight="1" x14ac:dyDescent="0.25">
      <c r="B9" s="82">
        <f>Inputs!G9</f>
        <v>16.502988521959907</v>
      </c>
      <c r="C9" s="82"/>
      <c r="D9" s="82"/>
    </row>
    <row r="10" spans="2:12" ht="15" customHeight="1" x14ac:dyDescent="0.25">
      <c r="B10" s="82"/>
      <c r="C10" s="82"/>
      <c r="D10" s="82"/>
    </row>
    <row r="11" spans="2:12" ht="15" customHeight="1" x14ac:dyDescent="0.25">
      <c r="B11" s="66" t="str">
        <f>IF(Inputs!$C$6="Imperial","FIELD SIZE (acres)","FIELD SIZE (hectares)")</f>
        <v>FIELD SIZE (hectares)</v>
      </c>
      <c r="C11" s="66"/>
      <c r="D11" s="66"/>
    </row>
    <row r="12" spans="2:12" ht="15" customHeight="1" x14ac:dyDescent="0.25">
      <c r="B12" s="83">
        <f>Inputs!C8</f>
        <v>60</v>
      </c>
      <c r="C12" s="83"/>
      <c r="D12" s="83"/>
    </row>
    <row r="13" spans="2:12" ht="15" customHeight="1" x14ac:dyDescent="0.25">
      <c r="B13" s="83"/>
      <c r="C13" s="83"/>
      <c r="D13" s="83"/>
    </row>
    <row r="14" spans="2:12" ht="15" customHeight="1" x14ac:dyDescent="0.25">
      <c r="B14" s="66" t="s">
        <v>135</v>
      </c>
      <c r="C14" s="66"/>
      <c r="D14" s="66"/>
    </row>
    <row r="15" spans="2:12" ht="15" customHeight="1" x14ac:dyDescent="0.25">
      <c r="B15" s="82" t="str">
        <f>Inputs!F6</f>
        <v>3 h 38 min</v>
      </c>
      <c r="C15" s="82"/>
      <c r="D15" s="82"/>
    </row>
    <row r="16" spans="2:12" ht="15" customHeight="1" x14ac:dyDescent="0.25">
      <c r="B16" s="82"/>
      <c r="C16" s="82"/>
      <c r="D16" s="82"/>
    </row>
    <row r="17" spans="2:4" ht="15" customHeight="1" x14ac:dyDescent="0.25"/>
    <row r="18" spans="2:4" x14ac:dyDescent="0.25">
      <c r="B18" s="66" t="s">
        <v>61</v>
      </c>
      <c r="C18" s="66"/>
      <c r="D18" s="66"/>
    </row>
    <row r="19" spans="2:4" x14ac:dyDescent="0.25">
      <c r="B19" s="22" t="s">
        <v>62</v>
      </c>
      <c r="C19" s="33" t="str">
        <f>IF(Inputs!$C$6="Imperial","Min/ac","Min/ha")</f>
        <v>Min/ha</v>
      </c>
      <c r="D19" s="22" t="s">
        <v>63</v>
      </c>
    </row>
    <row r="20" spans="2:4" x14ac:dyDescent="0.25">
      <c r="B20" s="9" t="s">
        <v>27</v>
      </c>
      <c r="C20" s="31">
        <f>IFERROR(Inputs!C31*60/Inputs!$C$8,0)</f>
        <v>1.8373931623931625</v>
      </c>
      <c r="D20" s="36">
        <f>IFERROR(Inputs!C31/Inputs!$C$36,0)</f>
        <v>0.50537463782169956</v>
      </c>
    </row>
    <row r="21" spans="2:4" x14ac:dyDescent="0.25">
      <c r="B21" s="9" t="s">
        <v>29</v>
      </c>
      <c r="C21" s="31">
        <f>IFERROR(Inputs!C32*60/Inputs!$C$8,0)</f>
        <v>0.47555555555555556</v>
      </c>
      <c r="D21" s="36">
        <f>IFERROR(Inputs!C32/Inputs!$C$36,0)</f>
        <v>0.13080146458146</v>
      </c>
    </row>
    <row r="22" spans="2:4" x14ac:dyDescent="0.25">
      <c r="B22" s="9" t="s">
        <v>30</v>
      </c>
      <c r="C22" s="31">
        <f>IFERROR(Inputs!C33*60/Inputs!$C$8,0)</f>
        <v>0.29487179487179482</v>
      </c>
      <c r="D22" s="36">
        <f>IFERROR(Inputs!C33/Inputs!$C$36,0)</f>
        <v>8.1104430770315761E-2</v>
      </c>
    </row>
    <row r="23" spans="2:4" x14ac:dyDescent="0.25">
      <c r="B23" s="9" t="s">
        <v>31</v>
      </c>
      <c r="C23" s="31">
        <f>IFERROR(Inputs!C34*60/Inputs!$C$8,0)</f>
        <v>0.55000000000000004</v>
      </c>
      <c r="D23" s="36">
        <f>IFERROR(Inputs!C34/Inputs!$C$36,0)</f>
        <v>0.15127739478463248</v>
      </c>
    </row>
    <row r="24" spans="2:4" x14ac:dyDescent="0.25">
      <c r="B24" s="9" t="s">
        <v>32</v>
      </c>
      <c r="C24" s="31">
        <f>IFERROR(Inputs!C35*60/Inputs!$C$8,0)</f>
        <v>0</v>
      </c>
      <c r="D24" s="36">
        <f>IFERROR(Inputs!C35/Inputs!$C$36,0)</f>
        <v>0</v>
      </c>
    </row>
    <row r="25" spans="2:4" ht="15.75" thickBot="1" x14ac:dyDescent="0.3">
      <c r="B25" s="9" t="s">
        <v>64</v>
      </c>
      <c r="C25" s="31">
        <f>IFERROR(Inputs!G81*60/Inputs!C8,0)</f>
        <v>0.47788461538461541</v>
      </c>
      <c r="D25" s="36">
        <f>IFERROR(Inputs!G81/Inputs!C36,0)</f>
        <v>0.13144207204189221</v>
      </c>
    </row>
    <row r="26" spans="2:4" x14ac:dyDescent="0.25">
      <c r="B26" s="23" t="s">
        <v>65</v>
      </c>
      <c r="C26" s="32">
        <f>SUM(C20:C25)</f>
        <v>3.6357051282051285</v>
      </c>
      <c r="D26" s="24">
        <f>SUM(D20:D25)</f>
        <v>0.99999999999999989</v>
      </c>
    </row>
  </sheetData>
  <sheetProtection algorithmName="SHA-512" hashValue="yG7REih2KmXTXIy71FK89/Y9NQAYr4io3dD6GrreNY6w+D5vPZa/WGx+hkBgdBF5X5yOGg2W3QXv7ztfEWS+xQ==" saltValue="gchjKbBY/kUSahl2JcfTxA==" spinCount="100000" sheet="1" selectLockedCells="1" selectUnlockedCells="1"/>
  <mergeCells count="11">
    <mergeCell ref="B18:D18"/>
    <mergeCell ref="B2:L2"/>
    <mergeCell ref="B3:L3"/>
    <mergeCell ref="B5:D5"/>
    <mergeCell ref="B11:D11"/>
    <mergeCell ref="B6:D7"/>
    <mergeCell ref="B12:D13"/>
    <mergeCell ref="B14:D14"/>
    <mergeCell ref="B15:D16"/>
    <mergeCell ref="B8:D8"/>
    <mergeCell ref="B9:D10"/>
  </mergeCells>
  <pageMargins left="0.75" right="0.75" top="1" bottom="1" header="0.511811023622047" footer="0.511811023622047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C36"/>
  <sheetViews>
    <sheetView showGridLines="0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7" sqref="H17"/>
    </sheetView>
  </sheetViews>
  <sheetFormatPr defaultColWidth="8.7109375" defaultRowHeight="15" x14ac:dyDescent="0.25"/>
  <cols>
    <col min="1" max="1" width="4" customWidth="1"/>
    <col min="2" max="2" width="30" customWidth="1"/>
    <col min="3" max="3" width="100.7109375" customWidth="1"/>
  </cols>
  <sheetData>
    <row r="2" spans="2:3" ht="22.5" x14ac:dyDescent="0.3">
      <c r="B2" s="37" t="s">
        <v>127</v>
      </c>
      <c r="C2" s="37"/>
    </row>
    <row r="4" spans="2:3" x14ac:dyDescent="0.25">
      <c r="B4" s="25" t="s">
        <v>66</v>
      </c>
      <c r="C4" s="26" t="s">
        <v>67</v>
      </c>
    </row>
    <row r="5" spans="2:3" x14ac:dyDescent="0.25">
      <c r="B5" s="25" t="s">
        <v>68</v>
      </c>
      <c r="C5" s="26" t="s">
        <v>69</v>
      </c>
    </row>
    <row r="6" spans="2:3" ht="30" x14ac:dyDescent="0.25">
      <c r="B6" s="25" t="s">
        <v>70</v>
      </c>
      <c r="C6" s="26" t="s">
        <v>71</v>
      </c>
    </row>
    <row r="7" spans="2:3" ht="30" x14ac:dyDescent="0.25">
      <c r="B7" s="25" t="s">
        <v>72</v>
      </c>
      <c r="C7" s="26" t="s">
        <v>73</v>
      </c>
    </row>
    <row r="8" spans="2:3" x14ac:dyDescent="0.25">
      <c r="B8" s="25" t="s">
        <v>74</v>
      </c>
      <c r="C8" s="26" t="s">
        <v>75</v>
      </c>
    </row>
    <row r="9" spans="2:3" x14ac:dyDescent="0.25">
      <c r="B9" s="25" t="s">
        <v>76</v>
      </c>
      <c r="C9" s="26" t="s">
        <v>77</v>
      </c>
    </row>
    <row r="10" spans="2:3" x14ac:dyDescent="0.25">
      <c r="B10" s="25" t="s">
        <v>78</v>
      </c>
      <c r="C10" s="26" t="s">
        <v>79</v>
      </c>
    </row>
    <row r="11" spans="2:3" x14ac:dyDescent="0.25">
      <c r="B11" s="25" t="s">
        <v>80</v>
      </c>
      <c r="C11" s="26" t="s">
        <v>81</v>
      </c>
    </row>
    <row r="12" spans="2:3" ht="30" x14ac:dyDescent="0.25">
      <c r="B12" s="25" t="s">
        <v>82</v>
      </c>
      <c r="C12" s="26" t="s">
        <v>83</v>
      </c>
    </row>
    <row r="13" spans="2:3" x14ac:dyDescent="0.25">
      <c r="B13" s="25" t="s">
        <v>84</v>
      </c>
      <c r="C13" s="26" t="s">
        <v>85</v>
      </c>
    </row>
    <row r="14" spans="2:3" ht="30" x14ac:dyDescent="0.25">
      <c r="B14" s="25" t="s">
        <v>23</v>
      </c>
      <c r="C14" s="26" t="s">
        <v>86</v>
      </c>
    </row>
    <row r="15" spans="2:3" x14ac:dyDescent="0.25">
      <c r="B15" s="25" t="s">
        <v>87</v>
      </c>
      <c r="C15" s="26" t="s">
        <v>134</v>
      </c>
    </row>
    <row r="16" spans="2:3" ht="30" x14ac:dyDescent="0.25">
      <c r="B16" s="25" t="s">
        <v>88</v>
      </c>
      <c r="C16" s="26" t="s">
        <v>89</v>
      </c>
    </row>
    <row r="17" spans="2:3" ht="30" x14ac:dyDescent="0.25">
      <c r="B17" s="25" t="s">
        <v>0</v>
      </c>
      <c r="C17" s="26" t="s">
        <v>90</v>
      </c>
    </row>
    <row r="18" spans="2:3" x14ac:dyDescent="0.25">
      <c r="B18" s="25" t="s">
        <v>91</v>
      </c>
      <c r="C18" s="26" t="s">
        <v>92</v>
      </c>
    </row>
    <row r="19" spans="2:3" ht="30" x14ac:dyDescent="0.25">
      <c r="B19" s="25" t="s">
        <v>93</v>
      </c>
      <c r="C19" s="26" t="s">
        <v>94</v>
      </c>
    </row>
    <row r="20" spans="2:3" ht="30" x14ac:dyDescent="0.25">
      <c r="B20" s="25" t="s">
        <v>95</v>
      </c>
      <c r="C20" s="26" t="s">
        <v>96</v>
      </c>
    </row>
    <row r="21" spans="2:3" ht="30" x14ac:dyDescent="0.25">
      <c r="B21" s="25" t="s">
        <v>97</v>
      </c>
      <c r="C21" s="26" t="s">
        <v>98</v>
      </c>
    </row>
    <row r="22" spans="2:3" ht="30" x14ac:dyDescent="0.25">
      <c r="B22" s="25" t="s">
        <v>99</v>
      </c>
      <c r="C22" s="26" t="s">
        <v>100</v>
      </c>
    </row>
    <row r="23" spans="2:3" ht="30" x14ac:dyDescent="0.25">
      <c r="B23" s="25" t="s">
        <v>101</v>
      </c>
      <c r="C23" s="26" t="s">
        <v>102</v>
      </c>
    </row>
    <row r="24" spans="2:3" ht="30" x14ac:dyDescent="0.25">
      <c r="B24" s="25" t="s">
        <v>103</v>
      </c>
      <c r="C24" s="26" t="s">
        <v>104</v>
      </c>
    </row>
    <row r="25" spans="2:3" x14ac:dyDescent="0.25">
      <c r="B25" s="25" t="s">
        <v>105</v>
      </c>
      <c r="C25" s="26" t="s">
        <v>106</v>
      </c>
    </row>
    <row r="26" spans="2:3" x14ac:dyDescent="0.25">
      <c r="B26" s="25" t="s">
        <v>107</v>
      </c>
      <c r="C26" s="26" t="s">
        <v>108</v>
      </c>
    </row>
    <row r="27" spans="2:3" ht="30" x14ac:dyDescent="0.25">
      <c r="B27" s="25" t="s">
        <v>109</v>
      </c>
      <c r="C27" s="26" t="s">
        <v>110</v>
      </c>
    </row>
    <row r="28" spans="2:3" x14ac:dyDescent="0.25">
      <c r="B28" s="25" t="s">
        <v>111</v>
      </c>
      <c r="C28" s="26" t="s">
        <v>112</v>
      </c>
    </row>
    <row r="29" spans="2:3" ht="16.5" customHeight="1" x14ac:dyDescent="0.25">
      <c r="B29" s="25" t="s">
        <v>113</v>
      </c>
      <c r="C29" s="26" t="s">
        <v>114</v>
      </c>
    </row>
    <row r="30" spans="2:3" ht="30" x14ac:dyDescent="0.25">
      <c r="B30" s="25" t="s">
        <v>115</v>
      </c>
      <c r="C30" s="26" t="s">
        <v>116</v>
      </c>
    </row>
    <row r="31" spans="2:3" ht="30" x14ac:dyDescent="0.25">
      <c r="B31" s="25" t="s">
        <v>117</v>
      </c>
      <c r="C31" s="26" t="s">
        <v>118</v>
      </c>
    </row>
    <row r="32" spans="2:3" ht="30" x14ac:dyDescent="0.25">
      <c r="B32" s="25" t="s">
        <v>119</v>
      </c>
      <c r="C32" s="26" t="s">
        <v>120</v>
      </c>
    </row>
    <row r="34" spans="1:3" x14ac:dyDescent="0.25">
      <c r="A34" s="1"/>
      <c r="B34" s="1"/>
      <c r="C34" s="1"/>
    </row>
    <row r="35" spans="1:3" x14ac:dyDescent="0.25">
      <c r="A35" s="1"/>
    </row>
    <row r="36" spans="1:3" x14ac:dyDescent="0.25">
      <c r="A36" s="1"/>
    </row>
  </sheetData>
  <sheetProtection algorithmName="SHA-512" hashValue="D9uhIp9pKZtsRmuI+mYRbqkPsBfsxWSo0UuScEfERqfoMZZY8bvk7YLI+ZNscEUsq/Wffj15v9YhG6g0DnxZvg==" saltValue="RvvzgyOL9i5myZxtIC70Wg==" spinCount="100000" sheet="1" selectLockedCells="1" selectUnlockedCells="1"/>
  <mergeCells count="1">
    <mergeCell ref="B2:C2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4F4E5-A4F5-45BE-8BA8-96253A9D9951}">
  <sheetPr>
    <tabColor rgb="FF00B050"/>
  </sheetPr>
  <dimension ref="A1:A3"/>
  <sheetViews>
    <sheetView workbookViewId="0">
      <selection activeCell="E14" sqref="E14"/>
    </sheetView>
  </sheetViews>
  <sheetFormatPr defaultRowHeight="15" x14ac:dyDescent="0.25"/>
  <sheetData>
    <row r="1" spans="1:1" x14ac:dyDescent="0.25">
      <c r="A1" t="s">
        <v>132</v>
      </c>
    </row>
    <row r="2" spans="1:1" x14ac:dyDescent="0.25">
      <c r="A2" t="s">
        <v>19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Inputs</vt:lpstr>
      <vt:lpstr>Summary</vt:lpstr>
      <vt:lpstr>Help &amp; Assumptions</vt:lpstr>
      <vt:lpstr>Drops</vt:lpstr>
      <vt:lpstr>Inputs!Print_Area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Deveau, Jason (OMAFA)</dc:creator>
  <cp:keywords/>
  <dc:description/>
  <cp:lastModifiedBy>Deveau, Jason (OMAFA)</cp:lastModifiedBy>
  <cp:revision>0</cp:revision>
  <dcterms:created xsi:type="dcterms:W3CDTF">2026-09-04T15:42:02Z</dcterms:created>
  <dcterms:modified xsi:type="dcterms:W3CDTF">2026-09-04T15:44:23Z</dcterms:modified>
  <cp:category/>
  <cp:contentStatus/>
</cp:coreProperties>
</file>